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070" tabRatio="900" firstSheet="1" activeTab="2"/>
  </bookViews>
  <sheets>
    <sheet name="Open Men's" sheetId="1" r:id="rId1"/>
    <sheet name="Open Women's" sheetId="2" r:id="rId2"/>
    <sheet name="Under 18 Boys" sheetId="3" r:id="rId3"/>
    <sheet name="Under 16 Boys" sheetId="4" r:id="rId4"/>
    <sheet name="Under 18 Girls" sheetId="5" r:id="rId5"/>
    <sheet name="Under 16 Girls" sheetId="6" r:id="rId6"/>
    <sheet name="FINALS" sheetId="7" r:id="rId7"/>
    <sheet name="POINTS" sheetId="8" r:id="rId8"/>
    <sheet name="PM &amp; tax deduction" sheetId="9" r:id="rId9"/>
  </sheets>
  <definedNames>
    <definedName name="_xlfn.SINGLE" hidden="1">#NAME?</definedName>
    <definedName name="_xlnm.Print_Area" localSheetId="6">'FINALS'!$A$1:$J$25</definedName>
    <definedName name="_xlnm.Print_Area" localSheetId="0">'Open Men''s'!$E$1:$S$34</definedName>
    <definedName name="_xlnm.Print_Area" localSheetId="1">'Open Women''s'!$E$1:$P$22</definedName>
    <definedName name="_xlnm.Print_Area" localSheetId="8">'PM &amp; tax deduction'!$A$1:$L$60</definedName>
    <definedName name="_xlnm.Print_Area" localSheetId="3">'Under 16 Boys'!$E$1:$S$34</definedName>
    <definedName name="_xlnm.Print_Area" localSheetId="5">'Under 16 Girls'!$E$1:$P$22</definedName>
    <definedName name="_xlnm.Print_Area" localSheetId="2">'Under 18 Boys'!$E$1:$S$34</definedName>
    <definedName name="_xlnm.Print_Area" localSheetId="4">'Under 18 Girls'!$E$1:$P$22</definedName>
    <definedName name="Z_4F748F8E_7876_11D4_9E47_AA32C43A881C_.wvu.PrintArea" localSheetId="6" hidden="1">'FINALS'!$A$1:$G$25</definedName>
  </definedNames>
  <calcPr fullCalcOnLoad="1"/>
</workbook>
</file>

<file path=xl/sharedStrings.xml><?xml version="1.0" encoding="utf-8"?>
<sst xmlns="http://schemas.openxmlformats.org/spreadsheetml/2006/main" count="435" uniqueCount="153">
  <si>
    <t>Surfing New Zealand Inc</t>
  </si>
  <si>
    <t>4 Star</t>
  </si>
  <si>
    <t>Colour Order #1&gt;</t>
  </si>
  <si>
    <t>Red</t>
  </si>
  <si>
    <t>Colour Order #2&gt;</t>
  </si>
  <si>
    <t>White</t>
  </si>
  <si>
    <t>Evt</t>
  </si>
  <si>
    <t>Colour Order #3&gt;</t>
  </si>
  <si>
    <t>Heat 1</t>
  </si>
  <si>
    <t>Heat 2</t>
  </si>
  <si>
    <t>Heat 3</t>
  </si>
  <si>
    <t>Sd</t>
  </si>
  <si>
    <t>Colour Order #4&gt;</t>
  </si>
  <si>
    <t>No#</t>
  </si>
  <si>
    <t>Seed Order Below</t>
  </si>
  <si>
    <t>Heat 4</t>
  </si>
  <si>
    <t>3rd=5th points</t>
  </si>
  <si>
    <t>4th=7th points</t>
  </si>
  <si>
    <t>1st points</t>
  </si>
  <si>
    <t>2nd points</t>
  </si>
  <si>
    <t>3rd points</t>
  </si>
  <si>
    <t>4th points</t>
  </si>
  <si>
    <t>Blue</t>
  </si>
  <si>
    <t>Score</t>
  </si>
  <si>
    <t>Pl</t>
  </si>
  <si>
    <t>Division</t>
  </si>
  <si>
    <t>Plc</t>
  </si>
  <si>
    <t>Green</t>
  </si>
  <si>
    <t>3rd=9th</t>
  </si>
  <si>
    <t>4th=13th</t>
  </si>
  <si>
    <t>SNZ Pro Circuit Points Allocation</t>
  </si>
  <si>
    <t>1 Star</t>
  </si>
  <si>
    <t>2 Star</t>
  </si>
  <si>
    <t>3 Star</t>
  </si>
  <si>
    <t>5 Star</t>
  </si>
  <si>
    <t>6 Star</t>
  </si>
  <si>
    <t>Prizemoney Breakdown SNZ Rated Events</t>
  </si>
  <si>
    <t xml:space="preserve">Please note that the first $500 is tax free </t>
  </si>
  <si>
    <t>and 20% withholding tax is deducted thereafter.</t>
  </si>
  <si>
    <t>Open Men</t>
  </si>
  <si>
    <t>Place</t>
  </si>
  <si>
    <t>=</t>
  </si>
  <si>
    <t>Total</t>
  </si>
  <si>
    <t>Open Women</t>
  </si>
  <si>
    <t>Sanctioning Fee</t>
  </si>
  <si>
    <t>Grand Total</t>
  </si>
  <si>
    <r>
      <t xml:space="preserve">Round of 16 </t>
    </r>
    <r>
      <rPr>
        <b/>
        <sz val="8"/>
        <rFont val="Arial"/>
        <family val="2"/>
      </rPr>
      <t>(1st,2nd to S/Fs)</t>
    </r>
  </si>
  <si>
    <t>Prizemoney</t>
  </si>
  <si>
    <t>NAME</t>
  </si>
  <si>
    <t xml:space="preserve"> </t>
  </si>
  <si>
    <t>chq2</t>
  </si>
  <si>
    <t>chq1</t>
  </si>
  <si>
    <t>6 star 1st</t>
  </si>
  <si>
    <t>Payments</t>
  </si>
  <si>
    <t>WHT</t>
  </si>
  <si>
    <t>Placing</t>
  </si>
  <si>
    <t>5 star 1st</t>
  </si>
  <si>
    <t>Under 20 Men</t>
  </si>
  <si>
    <t>6 star 4th</t>
  </si>
  <si>
    <t>6 star 3rd</t>
  </si>
  <si>
    <t>6 star 2nd</t>
  </si>
  <si>
    <t>5 star 4th</t>
  </si>
  <si>
    <t>5 star 3rd</t>
  </si>
  <si>
    <t>5 star 2nd</t>
  </si>
  <si>
    <t>4 star 2nd</t>
  </si>
  <si>
    <t>4 star 1st</t>
  </si>
  <si>
    <t>PrizeM</t>
  </si>
  <si>
    <t>OPEN MEN</t>
  </si>
  <si>
    <t xml:space="preserve">pts                                </t>
  </si>
  <si>
    <t>Semifinals</t>
  </si>
  <si>
    <t>Final</t>
  </si>
  <si>
    <t>Piha Beach, Auckland</t>
  </si>
  <si>
    <t>SNZ Sanctioned</t>
  </si>
  <si>
    <t>15th May 2021</t>
  </si>
  <si>
    <t>SNZ2000</t>
  </si>
  <si>
    <t>16th May 2021</t>
  </si>
  <si>
    <t>Open Men's Division</t>
  </si>
  <si>
    <t>Open Women's Division</t>
  </si>
  <si>
    <t>Under 18 Boys Division</t>
  </si>
  <si>
    <t>Under 16 Boys Division</t>
  </si>
  <si>
    <t>Under 18 Girls Division</t>
  </si>
  <si>
    <t>Under 16 Girls Division</t>
  </si>
  <si>
    <t>NZ Grom Series - Super 16 Final - pres by Skinnies and Volkswagen</t>
  </si>
  <si>
    <t>NZ Surf Series - Super 16 Final - pres by Skinnies and Volkswagen</t>
  </si>
  <si>
    <t>Finn Vette (Gis)</t>
  </si>
  <si>
    <t>Jack Hinton (Mnt)</t>
  </si>
  <si>
    <t>Tom Robinson (Whngrei)</t>
  </si>
  <si>
    <t>Kora Cooper (Rag)</t>
  </si>
  <si>
    <t>Josef Jungwirth (Rag)</t>
  </si>
  <si>
    <t>Isaac Klein - Ovink (Mnt)</t>
  </si>
  <si>
    <t>Jackson Peak (Auck)</t>
  </si>
  <si>
    <t>Ari D'Anvers (whngrei)</t>
  </si>
  <si>
    <t>Jai Wallis (Piha)</t>
  </si>
  <si>
    <t>Ben Moretti (Ahipara)</t>
  </si>
  <si>
    <t>Max de Groot (HBay)</t>
  </si>
  <si>
    <t>Te Kauwhata Kauwhata (Whngrei)</t>
  </si>
  <si>
    <t>Connor Van Der Pol (Mnt)</t>
  </si>
  <si>
    <t>Tao Mouldey (Mnt)</t>
  </si>
  <si>
    <t>Jack Tyro (Chch)</t>
  </si>
  <si>
    <t>Beau woods (mnt)</t>
  </si>
  <si>
    <t>Kalani Louis (Tara)</t>
  </si>
  <si>
    <t>Bill Byers (Piha)</t>
  </si>
  <si>
    <t>Jack McKenzie (Chch)</t>
  </si>
  <si>
    <t>Rakiatea Tau (Chch)</t>
  </si>
  <si>
    <t>Izak Hayes (Whngrei)</t>
  </si>
  <si>
    <t>Tai Murphy (Whaka)</t>
  </si>
  <si>
    <t>Tai Erceg - Gray (Whngrei)</t>
  </si>
  <si>
    <t>Will Hardie (Piha)</t>
  </si>
  <si>
    <t>Mathias Thompson (Piha)</t>
  </si>
  <si>
    <t>Jake Owen (Dun)</t>
  </si>
  <si>
    <t>Cooper Ashill (Whngrei)</t>
  </si>
  <si>
    <t>Ben Fougere (Piha)</t>
  </si>
  <si>
    <t>Karne Gabbott (Dun)</t>
  </si>
  <si>
    <t>Natasha Gouldsbury (Levin)</t>
  </si>
  <si>
    <t>Ariana Shewry (Tara)</t>
  </si>
  <si>
    <t>Ava Henderson (Chch)</t>
  </si>
  <si>
    <t>Liv Haysom (Piha)</t>
  </si>
  <si>
    <t>Eloise Addison (Chch)</t>
  </si>
  <si>
    <t>Anna Brock (Mnt)</t>
  </si>
  <si>
    <t>Leia Millar (Piha)</t>
  </si>
  <si>
    <t>Asia Braithwaite (Gis)</t>
  </si>
  <si>
    <t>Sophia Brock (Mnt)</t>
  </si>
  <si>
    <t>Pia Rogers (WGM)</t>
  </si>
  <si>
    <t>Chloe Groube (Pau)</t>
  </si>
  <si>
    <t>Amanda Gouldsbury (Tara)</t>
  </si>
  <si>
    <t>Amelie Wink (Chch)</t>
  </si>
  <si>
    <t>Taylor Hutchison (Rag)</t>
  </si>
  <si>
    <t>Daniel Farr (Tara)</t>
  </si>
  <si>
    <t>Levi Stewart (Waihi Bch)</t>
  </si>
  <si>
    <t>Conor McLennan (Chch)</t>
  </si>
  <si>
    <t>Jarred Hancox (Tara)</t>
  </si>
  <si>
    <t>Jay Piper - Healion (Whiti)</t>
  </si>
  <si>
    <t>Billy Stairmand (Rag)</t>
  </si>
  <si>
    <t>Sean Peggs (Tairua)</t>
  </si>
  <si>
    <t>Zen Wallis (Piha)</t>
  </si>
  <si>
    <t>Caleb Cutmore (Ham)</t>
  </si>
  <si>
    <t>Reuben Woods (Mnt)</t>
  </si>
  <si>
    <t>Dune Kennings (Piha)</t>
  </si>
  <si>
    <t>Callum Chuter (Mnt)</t>
  </si>
  <si>
    <t>Paul Moretti (Nrthlnd)</t>
  </si>
  <si>
    <t>Natasha Gouldsbury (Tara)</t>
  </si>
  <si>
    <t>Gabrielle Paul (Piha)</t>
  </si>
  <si>
    <t>Ariana Shewry (Oakura)</t>
  </si>
  <si>
    <t>Georgia Wederell (Mnt)</t>
  </si>
  <si>
    <t>Ella Williams (Whmata)</t>
  </si>
  <si>
    <t>Zhana Hutchieson (Tara)</t>
  </si>
  <si>
    <t>U18 Boys</t>
  </si>
  <si>
    <t>U16 Boys</t>
  </si>
  <si>
    <t>U16 Girls</t>
  </si>
  <si>
    <t>U18 Girls</t>
  </si>
  <si>
    <t xml:space="preserve">Open </t>
  </si>
  <si>
    <t>Piha Beach</t>
  </si>
  <si>
    <t>15 - 16 May 2021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</si>
</sst>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"/>
    <numFmt numFmtId="179" formatCode="0.0"/>
    <numFmt numFmtId="180" formatCode="0.0%"/>
    <numFmt numFmtId="181" formatCode="_-&quot;$&quot;* #,##0.0_-;\-&quot;$&quot;* #,##0.0_-;_-&quot;$&quot;* &quot;-&quot;??_-;_-@_-"/>
    <numFmt numFmtId="182" formatCode="_-&quot;$&quot;* #,##0_-;\-&quot;$&quot;* #,##0_-;_-&quot;$&quot;* &quot;-&quot;??_-;_-@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0"/>
    <numFmt numFmtId="188" formatCode="&quot;$&quot;#,##0.00"/>
    <numFmt numFmtId="189" formatCode="[$-1409]dddd\,\ d\ mmmm\ yyyy"/>
    <numFmt numFmtId="190" formatCode="[$-1409]h:mm:ss\ AM/PM"/>
    <numFmt numFmtId="191" formatCode="0_);\(0\)"/>
  </numFmts>
  <fonts count="5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b/>
      <sz val="14"/>
      <name val="Arial"/>
      <family val="2"/>
    </font>
    <font>
      <sz val="9"/>
      <name val="Geneva"/>
      <family val="0"/>
    </font>
    <font>
      <sz val="10"/>
      <color indexed="8"/>
      <name val="Arial"/>
      <family val="2"/>
    </font>
    <font>
      <b/>
      <sz val="16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0"/>
      <name val="Arial"/>
      <family val="2"/>
    </font>
    <font>
      <sz val="8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178" fontId="6" fillId="0" borderId="0" xfId="0" applyNumberFormat="1" applyFont="1" applyAlignment="1">
      <alignment horizontal="left"/>
    </xf>
    <xf numFmtId="1" fontId="6" fillId="0" borderId="0" xfId="0" applyNumberFormat="1" applyFont="1" applyAlignment="1">
      <alignment horizontal="right"/>
    </xf>
    <xf numFmtId="0" fontId="6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2" fillId="0" borderId="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1" fillId="0" borderId="0" xfId="60">
      <alignment/>
      <protection/>
    </xf>
    <xf numFmtId="0" fontId="11" fillId="0" borderId="12" xfId="60" applyBorder="1">
      <alignment/>
      <protection/>
    </xf>
    <xf numFmtId="0" fontId="14" fillId="0" borderId="12" xfId="60" applyFont="1" applyBorder="1" applyAlignment="1">
      <alignment horizontal="center"/>
      <protection/>
    </xf>
    <xf numFmtId="0" fontId="14" fillId="0" borderId="0" xfId="60" applyFont="1" applyBorder="1" applyAlignment="1">
      <alignment horizontal="center"/>
      <protection/>
    </xf>
    <xf numFmtId="0" fontId="11" fillId="0" borderId="0" xfId="60" applyBorder="1">
      <alignment/>
      <protection/>
    </xf>
    <xf numFmtId="0" fontId="12" fillId="33" borderId="13" xfId="60" applyFont="1" applyFill="1" applyBorder="1" applyAlignment="1">
      <alignment horizontal="center"/>
      <protection/>
    </xf>
    <xf numFmtId="0" fontId="12" fillId="0" borderId="14" xfId="60" applyFont="1" applyBorder="1" applyAlignment="1">
      <alignment horizontal="center"/>
      <protection/>
    </xf>
    <xf numFmtId="0" fontId="12" fillId="33" borderId="15" xfId="60" applyFont="1" applyFill="1" applyBorder="1" applyAlignment="1">
      <alignment horizontal="center"/>
      <protection/>
    </xf>
    <xf numFmtId="0" fontId="12" fillId="33" borderId="14" xfId="60" applyFont="1" applyFill="1" applyBorder="1" applyAlignment="1">
      <alignment horizontal="center"/>
      <protection/>
    </xf>
    <xf numFmtId="0" fontId="12" fillId="0" borderId="13" xfId="60" applyFont="1" applyBorder="1" applyAlignment="1">
      <alignment horizontal="center"/>
      <protection/>
    </xf>
    <xf numFmtId="0" fontId="15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34" borderId="12" xfId="60" applyFont="1" applyFill="1" applyBorder="1" applyAlignment="1">
      <alignment horizontal="center"/>
      <protection/>
    </xf>
    <xf numFmtId="0" fontId="12" fillId="34" borderId="13" xfId="60" applyFont="1" applyFill="1" applyBorder="1" applyAlignment="1">
      <alignment horizontal="center"/>
      <protection/>
    </xf>
    <xf numFmtId="0" fontId="12" fillId="34" borderId="11" xfId="60" applyFont="1" applyFill="1" applyBorder="1" applyAlignment="1">
      <alignment horizontal="center"/>
      <protection/>
    </xf>
    <xf numFmtId="0" fontId="12" fillId="34" borderId="14" xfId="60" applyFont="1" applyFill="1" applyBorder="1" applyAlignment="1">
      <alignment horizontal="center"/>
      <protection/>
    </xf>
    <xf numFmtId="0" fontId="11" fillId="34" borderId="0" xfId="60" applyFill="1">
      <alignment/>
      <protection/>
    </xf>
    <xf numFmtId="0" fontId="14" fillId="35" borderId="12" xfId="60" applyFont="1" applyFill="1" applyBorder="1" applyAlignment="1">
      <alignment horizontal="center"/>
      <protection/>
    </xf>
    <xf numFmtId="0" fontId="12" fillId="35" borderId="13" xfId="60" applyFont="1" applyFill="1" applyBorder="1" applyAlignment="1">
      <alignment horizontal="center"/>
      <protection/>
    </xf>
    <xf numFmtId="0" fontId="12" fillId="35" borderId="16" xfId="60" applyFont="1" applyFill="1" applyBorder="1" applyAlignment="1">
      <alignment horizontal="center"/>
      <protection/>
    </xf>
    <xf numFmtId="0" fontId="12" fillId="35" borderId="14" xfId="60" applyFont="1" applyFill="1" applyBorder="1" applyAlignment="1">
      <alignment horizontal="center"/>
      <protection/>
    </xf>
    <xf numFmtId="0" fontId="11" fillId="35" borderId="0" xfId="60" applyFill="1">
      <alignment/>
      <protection/>
    </xf>
    <xf numFmtId="178" fontId="6" fillId="0" borderId="0" xfId="0" applyNumberFormat="1" applyFont="1" applyAlignment="1">
      <alignment/>
    </xf>
    <xf numFmtId="0" fontId="11" fillId="0" borderId="0" xfId="0" applyFont="1" applyAlignment="1">
      <alignment horizontal="left"/>
    </xf>
    <xf numFmtId="0" fontId="11" fillId="0" borderId="0" xfId="59">
      <alignment/>
      <protection/>
    </xf>
    <xf numFmtId="0" fontId="10" fillId="0" borderId="0" xfId="59" applyFont="1">
      <alignment/>
      <protection/>
    </xf>
    <xf numFmtId="0" fontId="12" fillId="0" borderId="0" xfId="59" applyFont="1">
      <alignment/>
      <protection/>
    </xf>
    <xf numFmtId="0" fontId="11" fillId="0" borderId="11" xfId="59" applyBorder="1">
      <alignment/>
      <protection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10" xfId="0" applyFont="1" applyBorder="1" applyAlignment="1">
      <alignment/>
    </xf>
    <xf numFmtId="0" fontId="11" fillId="0" borderId="0" xfId="61">
      <alignment/>
      <protection/>
    </xf>
    <xf numFmtId="0" fontId="11" fillId="0" borderId="0" xfId="61" applyAlignment="1">
      <alignment horizontal="center"/>
      <protection/>
    </xf>
    <xf numFmtId="0" fontId="10" fillId="33" borderId="11" xfId="61" applyFont="1" applyFill="1" applyBorder="1" applyAlignment="1">
      <alignment horizontal="center"/>
      <protection/>
    </xf>
    <xf numFmtId="1" fontId="10" fillId="33" borderId="11" xfId="61" applyNumberFormat="1" applyFont="1" applyFill="1" applyBorder="1" applyAlignment="1">
      <alignment horizontal="center"/>
      <protection/>
    </xf>
    <xf numFmtId="0" fontId="13" fillId="0" borderId="0" xfId="61" applyFont="1" applyAlignment="1">
      <alignment horizontal="right"/>
      <protection/>
    </xf>
    <xf numFmtId="0" fontId="10" fillId="0" borderId="17" xfId="61" applyFont="1" applyBorder="1" applyAlignment="1">
      <alignment horizontal="center"/>
      <protection/>
    </xf>
    <xf numFmtId="0" fontId="12" fillId="0" borderId="13" xfId="61" applyFont="1" applyBorder="1" applyAlignment="1">
      <alignment horizontal="center"/>
      <protection/>
    </xf>
    <xf numFmtId="0" fontId="12" fillId="0" borderId="14" xfId="61" applyFont="1" applyBorder="1" applyAlignment="1">
      <alignment horizontal="center"/>
      <protection/>
    </xf>
    <xf numFmtId="1" fontId="12" fillId="0" borderId="14" xfId="61" applyNumberFormat="1" applyFont="1" applyBorder="1" applyAlignment="1">
      <alignment horizontal="center"/>
      <protection/>
    </xf>
    <xf numFmtId="0" fontId="13" fillId="0" borderId="18" xfId="61" applyFont="1" applyBorder="1">
      <alignment/>
      <protection/>
    </xf>
    <xf numFmtId="0" fontId="13" fillId="0" borderId="19" xfId="61" applyFont="1" applyBorder="1">
      <alignment/>
      <protection/>
    </xf>
    <xf numFmtId="0" fontId="11" fillId="0" borderId="18" xfId="61" applyBorder="1">
      <alignment/>
      <protection/>
    </xf>
    <xf numFmtId="0" fontId="13" fillId="0" borderId="0" xfId="61" applyFont="1">
      <alignment/>
      <protection/>
    </xf>
    <xf numFmtId="1" fontId="13" fillId="0" borderId="20" xfId="61" applyNumberFormat="1" applyFont="1" applyBorder="1">
      <alignment/>
      <protection/>
    </xf>
    <xf numFmtId="1" fontId="11" fillId="0" borderId="0" xfId="61" applyNumberFormat="1">
      <alignment/>
      <protection/>
    </xf>
    <xf numFmtId="0" fontId="11" fillId="0" borderId="0" xfId="61" applyFont="1">
      <alignment/>
      <protection/>
    </xf>
    <xf numFmtId="0" fontId="11" fillId="0" borderId="12" xfId="61" applyBorder="1">
      <alignment/>
      <protection/>
    </xf>
    <xf numFmtId="0" fontId="13" fillId="0" borderId="16" xfId="61" applyFont="1" applyBorder="1">
      <alignment/>
      <protection/>
    </xf>
    <xf numFmtId="0" fontId="13" fillId="0" borderId="12" xfId="61" applyFont="1" applyBorder="1" applyAlignment="1">
      <alignment horizontal="center"/>
      <protection/>
    </xf>
    <xf numFmtId="0" fontId="13" fillId="0" borderId="12" xfId="61" applyFont="1" applyBorder="1">
      <alignment/>
      <protection/>
    </xf>
    <xf numFmtId="0" fontId="12" fillId="0" borderId="21" xfId="61" applyFont="1" applyBorder="1" applyAlignment="1">
      <alignment horizontal="center"/>
      <protection/>
    </xf>
    <xf numFmtId="0" fontId="11" fillId="0" borderId="0" xfId="61" applyBorder="1">
      <alignment/>
      <protection/>
    </xf>
    <xf numFmtId="0" fontId="13" fillId="0" borderId="0" xfId="61" applyFont="1" applyBorder="1">
      <alignment/>
      <protection/>
    </xf>
    <xf numFmtId="0" fontId="13" fillId="33" borderId="11" xfId="61" applyFont="1" applyFill="1" applyBorder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0" fontId="12" fillId="33" borderId="11" xfId="61" applyFont="1" applyFill="1" applyBorder="1" applyAlignment="1">
      <alignment horizontal="center"/>
      <protection/>
    </xf>
    <xf numFmtId="0" fontId="13" fillId="0" borderId="20" xfId="61" applyFont="1" applyBorder="1">
      <alignment/>
      <protection/>
    </xf>
    <xf numFmtId="0" fontId="13" fillId="0" borderId="0" xfId="61" applyFont="1" applyBorder="1" applyAlignment="1">
      <alignment horizontal="left"/>
      <protection/>
    </xf>
    <xf numFmtId="0" fontId="11" fillId="0" borderId="0" xfId="61" applyAlignment="1">
      <alignment horizontal="right"/>
      <protection/>
    </xf>
    <xf numFmtId="0" fontId="11" fillId="0" borderId="20" xfId="61" applyBorder="1">
      <alignment/>
      <protection/>
    </xf>
    <xf numFmtId="0" fontId="11" fillId="0" borderId="22" xfId="61" applyBorder="1">
      <alignment/>
      <protection/>
    </xf>
    <xf numFmtId="0" fontId="11" fillId="0" borderId="18" xfId="61" applyFont="1" applyBorder="1">
      <alignment/>
      <protection/>
    </xf>
    <xf numFmtId="9" fontId="22" fillId="36" borderId="0" xfId="61" applyNumberFormat="1" applyFont="1" applyFill="1">
      <alignment/>
      <protection/>
    </xf>
    <xf numFmtId="0" fontId="16" fillId="0" borderId="0" xfId="61" applyFont="1" applyBorder="1" applyAlignment="1">
      <alignment horizontal="center" vertical="center"/>
      <protection/>
    </xf>
    <xf numFmtId="0" fontId="11" fillId="0" borderId="0" xfId="61" applyBorder="1" applyAlignment="1">
      <alignment/>
      <protection/>
    </xf>
    <xf numFmtId="0" fontId="11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Border="1" applyAlignment="1">
      <alignment horizontal="left"/>
      <protection/>
    </xf>
    <xf numFmtId="0" fontId="16" fillId="0" borderId="0" xfId="61" applyFont="1" applyBorder="1" applyAlignment="1">
      <alignment horizontal="center"/>
      <protection/>
    </xf>
    <xf numFmtId="0" fontId="16" fillId="0" borderId="0" xfId="59" applyFont="1">
      <alignment/>
      <protection/>
    </xf>
    <xf numFmtId="0" fontId="19" fillId="0" borderId="0" xfId="59" applyFont="1">
      <alignment/>
      <protection/>
    </xf>
    <xf numFmtId="0" fontId="12" fillId="37" borderId="11" xfId="0" applyFont="1" applyFill="1" applyBorder="1" applyAlignment="1">
      <alignment horizontal="center"/>
    </xf>
    <xf numFmtId="0" fontId="12" fillId="38" borderId="11" xfId="0" applyFont="1" applyFill="1" applyBorder="1" applyAlignment="1">
      <alignment horizontal="center"/>
    </xf>
    <xf numFmtId="0" fontId="12" fillId="39" borderId="11" xfId="0" applyFont="1" applyFill="1" applyBorder="1" applyAlignment="1">
      <alignment horizontal="center"/>
    </xf>
    <xf numFmtId="0" fontId="11" fillId="0" borderId="23" xfId="0" applyFont="1" applyBorder="1" applyAlignment="1">
      <alignment/>
    </xf>
    <xf numFmtId="0" fontId="11" fillId="0" borderId="20" xfId="0" applyFont="1" applyBorder="1" applyAlignment="1">
      <alignment/>
    </xf>
    <xf numFmtId="0" fontId="1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1" fillId="0" borderId="24" xfId="0" applyFont="1" applyBorder="1" applyAlignment="1">
      <alignment/>
    </xf>
    <xf numFmtId="0" fontId="0" fillId="0" borderId="24" xfId="0" applyBorder="1" applyAlignment="1">
      <alignment/>
    </xf>
    <xf numFmtId="0" fontId="11" fillId="0" borderId="24" xfId="0" applyFont="1" applyBorder="1" applyAlignment="1" applyProtection="1">
      <alignment/>
      <protection hidden="1"/>
    </xf>
    <xf numFmtId="0" fontId="18" fillId="0" borderId="0" xfId="0" applyFont="1" applyAlignment="1">
      <alignment horizontal="left"/>
    </xf>
    <xf numFmtId="0" fontId="11" fillId="0" borderId="0" xfId="0" applyFont="1" applyAlignment="1" applyProtection="1">
      <alignment horizontal="left"/>
      <protection locked="0"/>
    </xf>
    <xf numFmtId="0" fontId="18" fillId="0" borderId="24" xfId="0" applyFont="1" applyBorder="1" applyAlignment="1">
      <alignment/>
    </xf>
    <xf numFmtId="0" fontId="11" fillId="0" borderId="24" xfId="57" applyFont="1" applyBorder="1" applyAlignment="1">
      <alignment horizontal="left"/>
      <protection/>
    </xf>
    <xf numFmtId="0" fontId="11" fillId="0" borderId="24" xfId="58" applyFont="1" applyBorder="1" applyAlignment="1">
      <alignment horizontal="left"/>
      <protection/>
    </xf>
    <xf numFmtId="0" fontId="18" fillId="0" borderId="0" xfId="0" applyFont="1" applyAlignment="1">
      <alignment/>
    </xf>
    <xf numFmtId="0" fontId="11" fillId="0" borderId="14" xfId="57" applyFont="1" applyBorder="1" applyAlignment="1">
      <alignment horizontal="left"/>
      <protection/>
    </xf>
    <xf numFmtId="1" fontId="11" fillId="0" borderId="14" xfId="0" applyNumberFormat="1" applyFont="1" applyBorder="1" applyAlignment="1">
      <alignment vertical="center"/>
    </xf>
    <xf numFmtId="0" fontId="11" fillId="0" borderId="14" xfId="0" applyFont="1" applyBorder="1" applyAlignment="1">
      <alignment/>
    </xf>
    <xf numFmtId="0" fontId="11" fillId="0" borderId="14" xfId="0" applyFont="1" applyBorder="1" applyAlignment="1" applyProtection="1">
      <alignment vertical="center"/>
      <protection locked="0"/>
    </xf>
    <xf numFmtId="0" fontId="8" fillId="0" borderId="11" xfId="60" applyFont="1" applyFill="1" applyBorder="1" applyAlignment="1">
      <alignment horizontal="center"/>
      <protection/>
    </xf>
    <xf numFmtId="0" fontId="9" fillId="0" borderId="11" xfId="60" applyFont="1" applyFill="1" applyBorder="1" applyAlignment="1">
      <alignment horizontal="center"/>
      <protection/>
    </xf>
    <xf numFmtId="0" fontId="9" fillId="0" borderId="11" xfId="0" applyFont="1" applyBorder="1" applyAlignment="1">
      <alignment/>
    </xf>
    <xf numFmtId="0" fontId="13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96MD2005m nats" xfId="57"/>
    <cellStyle name="Normal_99WQFMTS" xfId="58"/>
    <cellStyle name="Normal_draw - base 16 sds1" xfId="59"/>
    <cellStyle name="Normal_SNZ Pro circuit points" xfId="60"/>
    <cellStyle name="Normal_SNZ Pro Event prizemoney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76200</xdr:rowOff>
    </xdr:from>
    <xdr:to>
      <xdr:col>18</xdr:col>
      <xdr:colOff>400050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76200"/>
          <a:ext cx="246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1733550</xdr:colOff>
      <xdr:row>0</xdr:row>
      <xdr:rowOff>38100</xdr:rowOff>
    </xdr:from>
    <xdr:to>
      <xdr:col>15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38100"/>
          <a:ext cx="2038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76200</xdr:rowOff>
    </xdr:from>
    <xdr:to>
      <xdr:col>18</xdr:col>
      <xdr:colOff>295275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0" y="76200"/>
          <a:ext cx="246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247650</xdr:colOff>
      <xdr:row>0</xdr:row>
      <xdr:rowOff>76200</xdr:rowOff>
    </xdr:from>
    <xdr:to>
      <xdr:col>18</xdr:col>
      <xdr:colOff>400050</xdr:colOff>
      <xdr:row>4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68175" y="76200"/>
          <a:ext cx="24669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1733550</xdr:colOff>
      <xdr:row>0</xdr:row>
      <xdr:rowOff>38100</xdr:rowOff>
    </xdr:from>
    <xdr:to>
      <xdr:col>15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44150" y="38100"/>
          <a:ext cx="2038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1733550</xdr:colOff>
      <xdr:row>0</xdr:row>
      <xdr:rowOff>38100</xdr:rowOff>
    </xdr:from>
    <xdr:to>
      <xdr:col>15</xdr:col>
      <xdr:colOff>476250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48900" y="38100"/>
          <a:ext cx="20383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showGridLines="0" view="pageBreakPreview" zoomScale="80" zoomScaleNormal="75" zoomScaleSheetLayoutView="80" zoomScalePageLayoutView="0" workbookViewId="0" topLeftCell="B1">
      <selection activeCell="B1" sqref="B1"/>
    </sheetView>
  </sheetViews>
  <sheetFormatPr defaultColWidth="11.875" defaultRowHeight="12.75"/>
  <cols>
    <col min="1" max="1" width="2.75390625" style="1" customWidth="1"/>
    <col min="2" max="2" width="42.25390625" style="1" customWidth="1"/>
    <col min="3" max="3" width="5.625" style="1" bestFit="1" customWidth="1"/>
    <col min="4" max="4" width="3.25390625" style="1" customWidth="1"/>
    <col min="5" max="5" width="5.375" style="1" bestFit="1" customWidth="1"/>
    <col min="6" max="6" width="5.625" style="1" customWidth="1"/>
    <col min="7" max="7" width="24.375" style="1" customWidth="1"/>
    <col min="8" max="8" width="5.625" style="1" customWidth="1"/>
    <col min="9" max="9" width="4.375" style="1" customWidth="1"/>
    <col min="10" max="10" width="2.75390625" style="1" customWidth="1"/>
    <col min="11" max="11" width="5.625" style="1" customWidth="1"/>
    <col min="12" max="12" width="24.375" style="1" customWidth="1"/>
    <col min="13" max="14" width="5.625" style="1" customWidth="1"/>
    <col min="15" max="15" width="2.75390625" style="1" customWidth="1"/>
    <col min="16" max="16" width="7.00390625" style="1" customWidth="1"/>
    <col min="17" max="17" width="24.375" style="1" customWidth="1"/>
    <col min="18" max="18" width="6.00390625" style="1" customWidth="1"/>
    <col min="19" max="19" width="6.25390625" style="1" bestFit="1" customWidth="1"/>
    <col min="20" max="16384" width="11.875" style="1" customWidth="1"/>
  </cols>
  <sheetData>
    <row r="1" spans="2:10" ht="15.75">
      <c r="B1" s="22" t="s">
        <v>83</v>
      </c>
      <c r="F1" s="2" t="s">
        <v>0</v>
      </c>
      <c r="J1" s="3"/>
    </row>
    <row r="2" spans="1:10" ht="12.75">
      <c r="A2" s="3"/>
      <c r="B2" s="22" t="s">
        <v>71</v>
      </c>
      <c r="C2" s="39"/>
      <c r="D2" s="3"/>
      <c r="E2" s="11"/>
      <c r="J2" s="3"/>
    </row>
    <row r="3" spans="1:18" ht="15.75">
      <c r="A3" s="3"/>
      <c r="B3" s="22" t="s">
        <v>74</v>
      </c>
      <c r="C3" s="4"/>
      <c r="D3" s="3"/>
      <c r="F3" s="2" t="str">
        <f>B1</f>
        <v>NZ Surf Series - Super 16 Final - pres by Skinnies and Volkswagen</v>
      </c>
      <c r="G3" s="5"/>
      <c r="R3" s="7">
        <f>IF(E2=1,5000,IF(E2=2,10000,IF(E2=3,15000,IF(E2=4,20000,IF(E2=5,25000,IF(E2=6,30000,""))))))</f>
      </c>
    </row>
    <row r="4" spans="2:10" ht="15.75">
      <c r="B4" s="22" t="s">
        <v>75</v>
      </c>
      <c r="C4" s="3"/>
      <c r="D4" s="3"/>
      <c r="F4" s="2" t="str">
        <f>B3</f>
        <v>SNZ2000</v>
      </c>
      <c r="H4" s="23" t="str">
        <f>B2</f>
        <v>Piha Beach, Auckland</v>
      </c>
      <c r="J4" s="3"/>
    </row>
    <row r="5" spans="1:13" ht="15.75">
      <c r="A5" s="59"/>
      <c r="B5" s="22" t="s">
        <v>76</v>
      </c>
      <c r="C5" s="60"/>
      <c r="F5" s="2" t="str">
        <f>$B$4</f>
        <v>16th May 2021</v>
      </c>
      <c r="I5" s="9" t="s">
        <v>28</v>
      </c>
      <c r="J5" s="3"/>
      <c r="K5" s="10">
        <f>IF($C$2=4,750,IF($C$2=5,1000,IF($C$2=6,1250,"")))</f>
      </c>
      <c r="L5" s="11" t="s">
        <v>68</v>
      </c>
      <c r="M5" s="13"/>
    </row>
    <row r="6" spans="1:13" ht="15">
      <c r="A6" s="60"/>
      <c r="B6" s="57" t="s">
        <v>2</v>
      </c>
      <c r="C6" s="60" t="s">
        <v>3</v>
      </c>
      <c r="G6" s="5" t="str">
        <f>B5</f>
        <v>Open Men's Division</v>
      </c>
      <c r="I6" s="9" t="s">
        <v>29</v>
      </c>
      <c r="K6" s="10">
        <f>IF($C$2=4,675,IF($C$2=5,900,IF($C$2=6,1125,"")))</f>
      </c>
      <c r="L6" s="11" t="s">
        <v>68</v>
      </c>
      <c r="M6" s="13"/>
    </row>
    <row r="7" spans="1:9" ht="15">
      <c r="A7" s="60"/>
      <c r="B7" s="57" t="s">
        <v>4</v>
      </c>
      <c r="C7" s="60" t="s">
        <v>5</v>
      </c>
      <c r="G7" s="6" t="s">
        <v>46</v>
      </c>
      <c r="H7" s="1" t="s">
        <v>23</v>
      </c>
      <c r="I7" s="1" t="s">
        <v>24</v>
      </c>
    </row>
    <row r="8" spans="1:7" ht="15">
      <c r="A8" s="60" t="s">
        <v>6</v>
      </c>
      <c r="B8" s="57" t="s">
        <v>7</v>
      </c>
      <c r="C8" s="60" t="s">
        <v>27</v>
      </c>
      <c r="G8" s="6" t="s">
        <v>8</v>
      </c>
    </row>
    <row r="9" spans="1:19" ht="15">
      <c r="A9" s="60" t="s">
        <v>11</v>
      </c>
      <c r="B9" s="57" t="s">
        <v>12</v>
      </c>
      <c r="C9" s="60" t="s">
        <v>22</v>
      </c>
      <c r="E9" s="9" t="str">
        <f>$C$6</f>
        <v>Red</v>
      </c>
      <c r="F9" s="104">
        <f>$C$14</f>
        <v>4</v>
      </c>
      <c r="G9" s="17" t="str">
        <f>$B$14</f>
        <v>Conor McLennan (Chch)</v>
      </c>
      <c r="H9" s="17"/>
      <c r="I9" s="17">
        <f>IF(ISNA(RANK(H9,$H$9:$H$12,0)),0,RANK(H9,$H$9:$H$12,0))</f>
        <v>0</v>
      </c>
      <c r="J9" s="20"/>
      <c r="K9" s="27"/>
      <c r="L9" s="19" t="str">
        <f>B5</f>
        <v>Open Men's Division</v>
      </c>
      <c r="M9" s="6" t="s">
        <v>69</v>
      </c>
      <c r="P9" s="27"/>
      <c r="Q9" s="27"/>
      <c r="R9" s="27"/>
      <c r="S9" s="27"/>
    </row>
    <row r="10" spans="1:19" ht="14.25">
      <c r="A10" s="60" t="s">
        <v>13</v>
      </c>
      <c r="B10" s="57" t="s">
        <v>14</v>
      </c>
      <c r="C10" s="59"/>
      <c r="E10" s="9" t="str">
        <f>$C$7</f>
        <v>White</v>
      </c>
      <c r="F10" s="21">
        <f>$C$15</f>
        <v>5</v>
      </c>
      <c r="G10" s="17" t="str">
        <f>$B$15</f>
        <v>Jarred Hancox (Tara)</v>
      </c>
      <c r="H10" s="17"/>
      <c r="I10" s="17">
        <f>IF(ISNA(RANK(H10,$H$9:$H$12,0)),0,RANK(H10,$H$9:$H$12,0))</f>
        <v>0</v>
      </c>
      <c r="J10" s="20"/>
      <c r="K10" s="28"/>
      <c r="L10" s="9" t="s">
        <v>16</v>
      </c>
      <c r="M10" s="10">
        <f>IF($C$2=1,153,IF($C$2=2,305,IF($C$2=3,610,IF($C$2=4,915,IF($C$2=5,1220,IF($C$2=6,1525,""))))))</f>
      </c>
      <c r="N10" s="13"/>
      <c r="P10" s="27"/>
      <c r="Q10" s="27"/>
      <c r="R10" s="27"/>
      <c r="S10" s="27"/>
    </row>
    <row r="11" spans="1:19" ht="14.25">
      <c r="A11" s="59">
        <v>1</v>
      </c>
      <c r="B11" s="116" t="s">
        <v>126</v>
      </c>
      <c r="C11" s="58">
        <v>1</v>
      </c>
      <c r="E11" s="9" t="str">
        <f>$C$8</f>
        <v>Green</v>
      </c>
      <c r="F11" s="105">
        <f>$C$22</f>
        <v>12</v>
      </c>
      <c r="G11" s="17" t="str">
        <f>$B$22</f>
        <v>Dune Kennings (Piha)</v>
      </c>
      <c r="H11" s="17"/>
      <c r="I11" s="17">
        <f>IF(ISNA(RANK(H11,$H$9:$H$12,0)),0,RANK(H11,$H$9:$H$12,0))</f>
        <v>0</v>
      </c>
      <c r="J11" s="20"/>
      <c r="K11" s="28"/>
      <c r="L11" s="9" t="s">
        <v>17</v>
      </c>
      <c r="M11" s="10">
        <f>IF($C$2=1,139,IF($C$2=2,278,IF($C$2=3,555,IF($C$2=4,833,IF($C$2=5,1110,IF($C$2=6,1388,""))))))</f>
      </c>
      <c r="N11" s="13"/>
      <c r="P11" s="27"/>
      <c r="Q11" s="27"/>
      <c r="R11" s="27"/>
      <c r="S11" s="27"/>
    </row>
    <row r="12" spans="1:19" ht="15">
      <c r="A12" s="59">
        <v>2</v>
      </c>
      <c r="B12" s="117" t="s">
        <v>127</v>
      </c>
      <c r="C12" s="58">
        <v>2</v>
      </c>
      <c r="E12" s="9" t="str">
        <f>$C$9</f>
        <v>Blue</v>
      </c>
      <c r="F12" s="106">
        <f>$C$23</f>
        <v>13</v>
      </c>
      <c r="G12" s="17" t="str">
        <f>$B$23</f>
        <v>Callum Chuter (Mnt)</v>
      </c>
      <c r="H12" s="17"/>
      <c r="I12" s="17">
        <f>IF(ISNA(RANK(H12,$H$9:$H$12,0)),0,RANK(H12,$H$9:$H$12,0))</f>
        <v>0</v>
      </c>
      <c r="J12" s="27"/>
      <c r="L12" s="6" t="s">
        <v>8</v>
      </c>
      <c r="M12" s="1" t="s">
        <v>23</v>
      </c>
      <c r="N12" s="1" t="s">
        <v>24</v>
      </c>
      <c r="O12" s="20"/>
      <c r="P12" s="27"/>
      <c r="Q12" s="27"/>
      <c r="R12" s="27"/>
      <c r="S12" s="27"/>
    </row>
    <row r="13" spans="1:19" ht="14.25">
      <c r="A13" s="59">
        <v>3</v>
      </c>
      <c r="B13" s="116" t="s">
        <v>128</v>
      </c>
      <c r="C13" s="58">
        <v>3</v>
      </c>
      <c r="E13" s="9"/>
      <c r="F13" s="20"/>
      <c r="G13" s="20"/>
      <c r="H13" s="20"/>
      <c r="I13" s="9" t="str">
        <f>$C$6</f>
        <v>Red</v>
      </c>
      <c r="J13" s="27"/>
      <c r="K13" s="104">
        <f>IF(I9=1,F9,IF(I10=1,F10,IF(I11=1,F11,IF(I12=1,F12,""))))</f>
      </c>
      <c r="L13" s="18">
        <f>IF(I9=1,G9,IF(I10=1,G10,IF(I11=1,G11,IF(I12=1,G12,1.1))))</f>
        <v>1.1</v>
      </c>
      <c r="M13" s="17"/>
      <c r="N13" s="17">
        <f>IF(ISNA(RANK(M13,$M$13:$M$16,0)),0,RANK(M13,$M$13:$M$16,0))</f>
        <v>0</v>
      </c>
      <c r="O13" s="20"/>
      <c r="P13" s="27"/>
      <c r="Q13" s="27"/>
      <c r="R13" s="27"/>
      <c r="S13" s="27"/>
    </row>
    <row r="14" spans="1:19" ht="15">
      <c r="A14" s="59">
        <v>4</v>
      </c>
      <c r="B14" s="116" t="s">
        <v>129</v>
      </c>
      <c r="C14" s="58">
        <v>4</v>
      </c>
      <c r="E14" s="9"/>
      <c r="F14" s="20"/>
      <c r="G14" s="20"/>
      <c r="H14" s="20"/>
      <c r="I14" s="9" t="str">
        <f>$C$7</f>
        <v>White</v>
      </c>
      <c r="J14" s="27"/>
      <c r="K14" s="21">
        <f>IF(I17=1,F17,IF(I18=1,F18,IF(I19=1,F19,IF(I20=1,F20,""))))</f>
      </c>
      <c r="L14" s="18">
        <f>IF(I17=1,G17,IF(I18=1,G18,IF(I19=1,G19,IF(I20=1,G20,1.2))))</f>
        <v>1.2</v>
      </c>
      <c r="M14" s="17"/>
      <c r="N14" s="17">
        <f>IF(ISNA(RANK(M14,$M$13:$M$16,0)),0,RANK(M14,$M$13:$M$16,0))</f>
        <v>0</v>
      </c>
      <c r="O14" s="20"/>
      <c r="P14" s="27"/>
      <c r="Q14" s="8" t="str">
        <f>B5</f>
        <v>Open Men's Division</v>
      </c>
      <c r="R14" s="8" t="s">
        <v>70</v>
      </c>
      <c r="S14" s="27"/>
    </row>
    <row r="15" spans="1:19" ht="14.25">
      <c r="A15" s="59">
        <v>5</v>
      </c>
      <c r="B15" s="117" t="s">
        <v>130</v>
      </c>
      <c r="C15" s="58">
        <v>5</v>
      </c>
      <c r="E15" s="9"/>
      <c r="F15" s="20"/>
      <c r="G15" s="20"/>
      <c r="H15" s="20"/>
      <c r="I15" s="9" t="str">
        <f>$C$8</f>
        <v>Green</v>
      </c>
      <c r="J15" s="27"/>
      <c r="K15" s="105">
        <f>IF(I23=2,F23,IF(I24=2,F24,IF(I25=2,F25,IF(I26=2,F26,""))))</f>
      </c>
      <c r="L15" s="18">
        <f>IF(I23=2,G23,IF(I24=2,G24,IF(I25=2,G25,IF(I26=2,G26,2.3))))</f>
        <v>2.3</v>
      </c>
      <c r="M15" s="17"/>
      <c r="N15" s="17">
        <f>IF(ISNA(RANK(M15,$M$13:$M$16,0)),0,RANK(M15,$M$13:$M$16,0))</f>
        <v>0</v>
      </c>
      <c r="O15" s="20"/>
      <c r="P15" s="3"/>
      <c r="Q15" s="14" t="s">
        <v>18</v>
      </c>
      <c r="R15" s="25">
        <f>IF($C$2=4,1500,IF($C$2=5,2000,IF($C$2=6,2500,"")))</f>
      </c>
      <c r="S15" s="51"/>
    </row>
    <row r="16" spans="1:19" ht="15">
      <c r="A16" s="59">
        <v>6</v>
      </c>
      <c r="B16" s="111" t="s">
        <v>131</v>
      </c>
      <c r="C16" s="58">
        <v>6</v>
      </c>
      <c r="E16" s="9"/>
      <c r="G16" s="6" t="s">
        <v>9</v>
      </c>
      <c r="H16" s="27"/>
      <c r="I16" s="9" t="str">
        <f>$C$9</f>
        <v>Blue</v>
      </c>
      <c r="J16" s="27"/>
      <c r="K16" s="106">
        <f>IF(I31=2,F31,IF(I32=2,F32,IF(I33=2,F33,IF(I34=2,F34,""))))</f>
      </c>
      <c r="L16" s="18">
        <f>IF(I31=2,G31,IF(I32=2,G32,IF(I33=2,G33,IF(I34=2,G34,2.4))))</f>
        <v>2.4</v>
      </c>
      <c r="M16" s="17"/>
      <c r="N16" s="17">
        <f>IF(ISNA(RANK(M16,$M$13:$M$16,0)),0,RANK(M16,$M$13:$M$16,0))</f>
        <v>0</v>
      </c>
      <c r="O16" s="27"/>
      <c r="P16" s="3"/>
      <c r="Q16" s="14" t="s">
        <v>19</v>
      </c>
      <c r="R16" s="25">
        <f>IF($C$2=4,1290,IF($C$2=5,1720,IF($C$2=6,2150,"")))</f>
      </c>
      <c r="S16" s="51"/>
    </row>
    <row r="17" spans="1:19" ht="14.25">
      <c r="A17" s="59">
        <v>7</v>
      </c>
      <c r="B17" s="116" t="s">
        <v>132</v>
      </c>
      <c r="C17" s="58">
        <v>7</v>
      </c>
      <c r="E17" s="9" t="str">
        <f>$C$6</f>
        <v>Red</v>
      </c>
      <c r="F17" s="104">
        <f>$C$11</f>
        <v>1</v>
      </c>
      <c r="G17" s="17" t="str">
        <f>$B$11</f>
        <v>Taylor Hutchison (Rag)</v>
      </c>
      <c r="H17" s="17"/>
      <c r="I17" s="17">
        <f>IF(ISNA(RANK(H17,$H$17:$H$20,0)),0,RANK(H17,$H$17:$H$20,0))</f>
        <v>0</v>
      </c>
      <c r="J17" s="20"/>
      <c r="K17" s="27"/>
      <c r="L17" s="27"/>
      <c r="M17" s="27"/>
      <c r="N17" s="27"/>
      <c r="O17" s="27"/>
      <c r="P17" s="3"/>
      <c r="Q17" s="14" t="s">
        <v>20</v>
      </c>
      <c r="R17" s="25">
        <f>IF($C$2=4,1095,IF($C$2=5,1460,IF($C$2=6,1825,"")))</f>
      </c>
      <c r="S17" s="51"/>
    </row>
    <row r="18" spans="1:19" ht="14.25">
      <c r="A18" s="59">
        <v>8</v>
      </c>
      <c r="B18" s="117" t="s">
        <v>133</v>
      </c>
      <c r="C18" s="58">
        <v>8</v>
      </c>
      <c r="E18" s="9" t="str">
        <f>$C$7</f>
        <v>White</v>
      </c>
      <c r="F18" s="21">
        <f>$C$18</f>
        <v>8</v>
      </c>
      <c r="G18" s="17" t="str">
        <f>$B$18</f>
        <v>Sean Peggs (Tairua)</v>
      </c>
      <c r="H18" s="17"/>
      <c r="I18" s="17">
        <f>IF(ISNA(RANK(H18,$H$17:$H$20,0)),0,RANK(H18,$H$17:$H$20,0))</f>
        <v>0</v>
      </c>
      <c r="J18" s="20"/>
      <c r="K18" s="27"/>
      <c r="L18" s="27"/>
      <c r="M18" s="27"/>
      <c r="N18" s="27"/>
      <c r="O18" s="27"/>
      <c r="P18" s="3"/>
      <c r="Q18" s="14" t="s">
        <v>21</v>
      </c>
      <c r="R18" s="25">
        <f>IF($C$2=4,1005,IF($C$2=5,1340,IF($C$2=6,1675,"")))</f>
      </c>
      <c r="S18" s="51"/>
    </row>
    <row r="19" spans="1:19" ht="14.25">
      <c r="A19" s="59">
        <v>9</v>
      </c>
      <c r="B19" s="118" t="s">
        <v>134</v>
      </c>
      <c r="C19" s="58">
        <v>9</v>
      </c>
      <c r="E19" s="9" t="str">
        <f>$C$8</f>
        <v>Green</v>
      </c>
      <c r="F19" s="105">
        <f>$C$19</f>
        <v>9</v>
      </c>
      <c r="G19" s="17" t="str">
        <f>$B$19</f>
        <v>Zen Wallis (Piha)</v>
      </c>
      <c r="H19" s="17"/>
      <c r="I19" s="17">
        <f>IF(ISNA(RANK(H19,$H$17:$H$20,0)),0,RANK(H19,$H$17:$H$20,0))</f>
        <v>0</v>
      </c>
      <c r="J19" s="20"/>
      <c r="K19" s="27"/>
      <c r="L19" s="27"/>
      <c r="M19" s="27"/>
      <c r="N19" s="27"/>
      <c r="O19" s="27"/>
      <c r="R19" s="1" t="s">
        <v>23</v>
      </c>
      <c r="S19" s="1" t="s">
        <v>24</v>
      </c>
    </row>
    <row r="20" spans="1:19" ht="14.25">
      <c r="A20" s="59">
        <v>10</v>
      </c>
      <c r="B20" s="119" t="s">
        <v>135</v>
      </c>
      <c r="C20" s="58">
        <v>10</v>
      </c>
      <c r="E20" s="9" t="str">
        <f>$C$9</f>
        <v>Blue</v>
      </c>
      <c r="F20" s="106">
        <f>$C$26</f>
        <v>16</v>
      </c>
      <c r="G20" s="17" t="str">
        <f>$B$26</f>
        <v>Josef Jungwirth (Rag)</v>
      </c>
      <c r="H20" s="17"/>
      <c r="I20" s="17">
        <f>IF(ISNA(RANK(H20,$H$17:$H$20,0)),0,RANK(H20,$H$17:$H$20,0))</f>
        <v>0</v>
      </c>
      <c r="J20" s="27"/>
      <c r="K20" s="27"/>
      <c r="L20" s="27"/>
      <c r="M20" s="27"/>
      <c r="N20" s="9" t="str">
        <f>$C$6</f>
        <v>Red</v>
      </c>
      <c r="O20" s="27"/>
      <c r="P20" s="104">
        <f>IF(N13=1,K13,IF(N14=1,K14,IF(N15=1,K15,IF(N16=1,K16,""))))</f>
      </c>
      <c r="Q20" s="18">
        <f>IF(N13=1,L13,IF(N14=1,L14,IF(N15=1,L15,IF(N16=1,L16,1.1))))</f>
        <v>1.1</v>
      </c>
      <c r="R20" s="17"/>
      <c r="S20" s="17">
        <f>IF(ISNA(RANK(R20,$R$20:$R$23,0)),0,RANK(R20,$R$20:$R$23,0))</f>
        <v>0</v>
      </c>
    </row>
    <row r="21" spans="1:19" ht="14.25">
      <c r="A21" s="59">
        <v>11</v>
      </c>
      <c r="B21" s="40" t="s">
        <v>136</v>
      </c>
      <c r="C21" s="58">
        <v>11</v>
      </c>
      <c r="E21" s="9"/>
      <c r="F21" s="20"/>
      <c r="G21" s="20"/>
      <c r="H21" s="20"/>
      <c r="I21" s="20"/>
      <c r="J21" s="20"/>
      <c r="K21" s="27"/>
      <c r="L21" s="27"/>
      <c r="M21" s="27"/>
      <c r="N21" s="9" t="str">
        <f>$C$7</f>
        <v>White</v>
      </c>
      <c r="O21" s="27"/>
      <c r="P21" s="21">
        <f>IF(N13=2,K13,IF(N14=2,K14,IF(N15=2,K15,IF(N16=2,K16,""))))</f>
      </c>
      <c r="Q21" s="18">
        <f>IF(N13=2,L13,IF(N14=2,L14,IF(N15=2,L15,IF(N16=2,L16,2.1))))</f>
        <v>2.1</v>
      </c>
      <c r="R21" s="17"/>
      <c r="S21" s="17">
        <f>IF(ISNA(RANK(R21,$R$20:$R$23,0)),0,RANK(R21,$R$20:$R$23,0))</f>
        <v>0</v>
      </c>
    </row>
    <row r="22" spans="1:19" ht="15">
      <c r="A22" s="59">
        <v>12</v>
      </c>
      <c r="B22" s="117" t="s">
        <v>137</v>
      </c>
      <c r="C22" s="58">
        <v>12</v>
      </c>
      <c r="E22" s="9"/>
      <c r="G22" s="6" t="s">
        <v>10</v>
      </c>
      <c r="I22" s="1" t="s">
        <v>24</v>
      </c>
      <c r="J22" s="20"/>
      <c r="K22" s="27"/>
      <c r="L22" s="27"/>
      <c r="M22" s="27"/>
      <c r="N22" s="9" t="str">
        <f>$C$8</f>
        <v>Green</v>
      </c>
      <c r="O22" s="27"/>
      <c r="P22" s="105">
        <f>IF(N27=1,K27,IF(N28=1,K28,IF(N29=1,K29,IF(N30=1,K30,""))))</f>
      </c>
      <c r="Q22" s="18">
        <f>IF(N27=1,L27,IF(N28=1,L28,IF(N29=1,L29,IF(N30=1,L30,1.2))))</f>
        <v>1.2</v>
      </c>
      <c r="R22" s="17"/>
      <c r="S22" s="17">
        <f>IF(ISNA(RANK(R22,$R$20:$R$23,0)),0,RANK(R22,$R$20:$R$23,0))</f>
        <v>0</v>
      </c>
    </row>
    <row r="23" spans="1:19" ht="14.25">
      <c r="A23" s="59">
        <v>13</v>
      </c>
      <c r="B23" s="117" t="s">
        <v>138</v>
      </c>
      <c r="C23" s="58">
        <v>13</v>
      </c>
      <c r="E23" s="9" t="str">
        <f>$C$6</f>
        <v>Red</v>
      </c>
      <c r="F23" s="104">
        <f>$C$12</f>
        <v>2</v>
      </c>
      <c r="G23" s="17" t="str">
        <f>$B$12</f>
        <v>Daniel Farr (Tara)</v>
      </c>
      <c r="H23" s="17"/>
      <c r="I23" s="17">
        <f>IF(ISNA(RANK(H23,$H$23:$H$26,0)),0,RANK(H23,$H$23:$H$26,0))</f>
        <v>0</v>
      </c>
      <c r="J23" s="20"/>
      <c r="K23" s="27"/>
      <c r="L23" s="27"/>
      <c r="M23" s="27"/>
      <c r="N23" s="9" t="str">
        <f>$C$9</f>
        <v>Blue</v>
      </c>
      <c r="O23" s="27"/>
      <c r="P23" s="106">
        <f>IF(N27=2,K27,IF(N28=2,K28,IF(N29=2,K29,IF(N30=2,K30,""))))</f>
      </c>
      <c r="Q23" s="18">
        <f>IF(N27=2,L27,IF(N28=2,L28,IF(N29=2,L29,IF(N30=2,L30,2.2))))</f>
        <v>2.2</v>
      </c>
      <c r="R23" s="17"/>
      <c r="S23" s="17">
        <f>IF(ISNA(RANK(R23,$R$20:$R$23,0)),0,RANK(R23,$R$20:$R$23,0))</f>
        <v>0</v>
      </c>
    </row>
    <row r="24" spans="1:19" ht="14.25">
      <c r="A24" s="59">
        <v>14</v>
      </c>
      <c r="B24" s="120" t="s">
        <v>86</v>
      </c>
      <c r="C24" s="58">
        <v>14</v>
      </c>
      <c r="E24" s="9" t="str">
        <f>$C$7</f>
        <v>White</v>
      </c>
      <c r="F24" s="21">
        <f>$C$17</f>
        <v>7</v>
      </c>
      <c r="G24" s="17" t="str">
        <f>$B$17</f>
        <v>Billy Stairmand (Rag)</v>
      </c>
      <c r="H24" s="17"/>
      <c r="I24" s="17">
        <f>IF(ISNA(RANK(H24,$H$23:$H$26,0)),0,RANK(H24,$H$23:$H$26,0))</f>
        <v>0</v>
      </c>
      <c r="J24" s="27"/>
      <c r="K24" s="27"/>
      <c r="L24" s="27"/>
      <c r="M24" s="27"/>
      <c r="N24" s="27"/>
      <c r="O24" s="20"/>
      <c r="P24" s="27"/>
      <c r="Q24" s="27"/>
      <c r="R24" s="27"/>
      <c r="S24" s="27"/>
    </row>
    <row r="25" spans="1:19" ht="14.25">
      <c r="A25" s="59">
        <v>15</v>
      </c>
      <c r="B25" s="119" t="s">
        <v>139</v>
      </c>
      <c r="C25" s="58">
        <v>15</v>
      </c>
      <c r="E25" s="9" t="str">
        <f>$C$8</f>
        <v>Green</v>
      </c>
      <c r="F25" s="105">
        <f>$C$20</f>
        <v>10</v>
      </c>
      <c r="G25" s="17" t="str">
        <f>$B$20</f>
        <v>Caleb Cutmore (Ham)</v>
      </c>
      <c r="H25" s="17"/>
      <c r="I25" s="17">
        <f>IF(ISNA(RANK(H25,$H$23:$H$26,0)),0,RANK(H25,$H$23:$H$26,0))</f>
        <v>0</v>
      </c>
      <c r="J25" s="27"/>
      <c r="K25" s="27"/>
      <c r="M25" s="27"/>
      <c r="N25" s="27"/>
      <c r="O25" s="20"/>
      <c r="P25" s="27"/>
      <c r="Q25" s="27"/>
      <c r="R25" s="27"/>
      <c r="S25" s="27"/>
    </row>
    <row r="26" spans="1:19" ht="15">
      <c r="A26" s="59">
        <v>16</v>
      </c>
      <c r="B26" s="119" t="s">
        <v>88</v>
      </c>
      <c r="C26" s="58">
        <v>16</v>
      </c>
      <c r="E26" s="9" t="str">
        <f>$C$9</f>
        <v>Blue</v>
      </c>
      <c r="F26" s="106">
        <f>$C$25</f>
        <v>15</v>
      </c>
      <c r="G26" s="17" t="str">
        <f>$B$25</f>
        <v>Paul Moretti (Nrthlnd)</v>
      </c>
      <c r="H26" s="17"/>
      <c r="I26" s="17">
        <f>IF(ISNA(RANK(H26,$H$23:$H$26,0)),0,RANK(H26,$H$23:$H$26,0))</f>
        <v>0</v>
      </c>
      <c r="J26" s="27"/>
      <c r="L26" s="6" t="s">
        <v>9</v>
      </c>
      <c r="M26" s="27"/>
      <c r="N26" s="27"/>
      <c r="O26" s="20"/>
      <c r="P26" s="27"/>
      <c r="Q26" s="27"/>
      <c r="R26" s="27"/>
      <c r="S26" s="27"/>
    </row>
    <row r="27" spans="2:19" ht="14.25">
      <c r="B27" s="15"/>
      <c r="C27" s="12"/>
      <c r="E27" s="9"/>
      <c r="F27" s="20"/>
      <c r="G27" s="20"/>
      <c r="H27" s="20"/>
      <c r="I27" s="9" t="str">
        <f>$C$6</f>
        <v>Red</v>
      </c>
      <c r="J27" s="27"/>
      <c r="K27" s="104">
        <f>IF(I17=2,F17,IF(I18=2,F18,IF(I19=2,F19,IF(I20=2,F20,""))))</f>
      </c>
      <c r="L27" s="18">
        <f>IF(I9=2,G9,IF(I10=2,G10,IF(I11=2,G11,IF(I12=2,G12,2.1))))</f>
        <v>2.1</v>
      </c>
      <c r="M27" s="17"/>
      <c r="N27" s="17">
        <f>IF(ISNA(RANK(M27,$M$27:$M$30,0)),0,RANK(M27,$M$27:$M$30,0))</f>
        <v>0</v>
      </c>
      <c r="O27" s="20"/>
      <c r="P27" s="27"/>
      <c r="Q27" s="27"/>
      <c r="R27" s="27"/>
      <c r="S27" s="27"/>
    </row>
    <row r="28" spans="2:19" ht="14.25">
      <c r="B28" s="15"/>
      <c r="C28" s="12"/>
      <c r="E28" s="9"/>
      <c r="F28" s="20"/>
      <c r="G28" s="20"/>
      <c r="H28" s="20"/>
      <c r="I28" s="9" t="str">
        <f>$C$7</f>
        <v>White</v>
      </c>
      <c r="J28" s="27"/>
      <c r="K28" s="21">
        <f>IF(I9=2,F9,IF(I10=2,F10,IF(I11=2,F11,IF(I12=2,F12,""))))</f>
      </c>
      <c r="L28" s="18">
        <f>IF(I17=2,G17,IF(I18=2,G18,IF(I19=2,G19,IF(I20=2,G20,2.2))))</f>
        <v>2.2</v>
      </c>
      <c r="M28" s="17"/>
      <c r="N28" s="17">
        <f>IF(ISNA(RANK(M28,$M$27:$M$30,0)),0,RANK(M28,$M$27:$M$30,0))</f>
        <v>0</v>
      </c>
      <c r="O28" s="27"/>
      <c r="P28" s="27"/>
      <c r="Q28" s="27"/>
      <c r="R28" s="27"/>
      <c r="S28" s="27"/>
    </row>
    <row r="29" spans="2:19" ht="14.25">
      <c r="B29" s="15"/>
      <c r="C29" s="12"/>
      <c r="E29" s="9"/>
      <c r="F29" s="20"/>
      <c r="G29" s="20"/>
      <c r="H29" s="20"/>
      <c r="I29" s="9" t="str">
        <f>$C$8</f>
        <v>Green</v>
      </c>
      <c r="J29" s="27"/>
      <c r="K29" s="105">
        <f>IF(I23=1,F23,IF(I24=1,F24,IF(I25=1,F25,IF(I26=1,F26,""))))</f>
      </c>
      <c r="L29" s="18">
        <f>IF(I23=1,G23,IF(I24=1,G24,IF(I25=1,G25,IF(I26=1,G26,1.3))))</f>
        <v>1.3</v>
      </c>
      <c r="M29" s="17"/>
      <c r="N29" s="17">
        <f>IF(ISNA(RANK(M29,$M$27:$M$30,0)),0,RANK(M29,$M$27:$M$30,0))</f>
        <v>0</v>
      </c>
      <c r="O29" s="27"/>
      <c r="P29" s="27"/>
      <c r="Q29" s="27"/>
      <c r="R29" s="27"/>
      <c r="S29" s="27"/>
    </row>
    <row r="30" spans="2:19" ht="15">
      <c r="B30" s="15"/>
      <c r="C30" s="12"/>
      <c r="E30" s="9"/>
      <c r="G30" s="6" t="s">
        <v>15</v>
      </c>
      <c r="H30" s="27"/>
      <c r="I30" s="9" t="str">
        <f>$C$9</f>
        <v>Blue</v>
      </c>
      <c r="J30" s="27"/>
      <c r="K30" s="106">
        <f>IF(I31=1,F31,IF(I32=1,F32,IF(I33=1,F33,IF(I34=1,F34,""))))</f>
      </c>
      <c r="L30" s="18">
        <f>IF(I31=1,G31,IF(I32=1,G32,IF(I33=1,G33,IF(I34=1,G34,1.4))))</f>
        <v>1.4</v>
      </c>
      <c r="M30" s="17"/>
      <c r="N30" s="17">
        <f>IF(ISNA(RANK(M30,$M$27:$M$30,0)),0,RANK(M30,$M$27:$M$30,0))</f>
        <v>0</v>
      </c>
      <c r="O30" s="27"/>
      <c r="P30" s="27"/>
      <c r="Q30" s="27"/>
      <c r="R30" s="27"/>
      <c r="S30" s="27"/>
    </row>
    <row r="31" spans="2:19" ht="14.25">
      <c r="B31" s="15"/>
      <c r="C31" s="12"/>
      <c r="E31" s="9" t="str">
        <f>$C$6</f>
        <v>Red</v>
      </c>
      <c r="F31" s="104">
        <f>$C$13</f>
        <v>3</v>
      </c>
      <c r="G31" s="17" t="str">
        <f>$B$13</f>
        <v>Levi Stewart (Waihi Bch)</v>
      </c>
      <c r="H31" s="17"/>
      <c r="I31" s="17">
        <f>IF(ISNA(RANK(H31,$H$31:$H$34,0)),0,RANK(H31,$H$31:$H$34,0))</f>
        <v>0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19" ht="14.25">
      <c r="B32" s="15"/>
      <c r="C32" s="12"/>
      <c r="E32" s="9" t="str">
        <f>$C$7</f>
        <v>White</v>
      </c>
      <c r="F32" s="21">
        <f>$C$16</f>
        <v>6</v>
      </c>
      <c r="G32" s="17" t="str">
        <f>$B$16</f>
        <v>Jay Piper - Healion (Whiti)</v>
      </c>
      <c r="H32" s="17"/>
      <c r="I32" s="17">
        <f>IF(ISNA(RANK(H32,$H$31:$H$34,0)),0,RANK(H32,$H$31:$H$34,0))</f>
        <v>0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2:19" ht="14.25">
      <c r="B33" s="15"/>
      <c r="C33" s="12"/>
      <c r="E33" s="9" t="str">
        <f>$C$8</f>
        <v>Green</v>
      </c>
      <c r="F33" s="105">
        <f>$C$21</f>
        <v>11</v>
      </c>
      <c r="G33" s="17" t="str">
        <f>$B$21</f>
        <v>Reuben Woods (Mnt)</v>
      </c>
      <c r="H33" s="17"/>
      <c r="I33" s="17">
        <f>IF(ISNA(RANK(H33,$H$31:$H$34,0)),0,RANK(H33,$H$31:$H$34,0))</f>
        <v>0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5:19" ht="14.25">
      <c r="E34" s="9" t="str">
        <f>$C$9</f>
        <v>Blue</v>
      </c>
      <c r="F34" s="106">
        <f>$C$24</f>
        <v>14</v>
      </c>
      <c r="G34" s="17" t="str">
        <f>$B$24</f>
        <v>Tom Robinson (Whngrei)</v>
      </c>
      <c r="H34" s="17"/>
      <c r="I34" s="17">
        <f>IF(ISNA(RANK(H34,$H$31:$H$34,0)),0,RANK(H34,$H$31:$H$34,0))</f>
        <v>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showGridLines="0" view="pageBreakPreview" zoomScale="80" zoomScaleNormal="75" zoomScaleSheetLayoutView="80" zoomScalePageLayoutView="0" workbookViewId="0" topLeftCell="A1">
      <selection activeCell="L21" sqref="L21"/>
    </sheetView>
  </sheetViews>
  <sheetFormatPr defaultColWidth="11.875" defaultRowHeight="12.75"/>
  <cols>
    <col min="1" max="1" width="2.75390625" style="1" customWidth="1"/>
    <col min="2" max="2" width="42.25390625" style="1" customWidth="1"/>
    <col min="3" max="3" width="5.625" style="1" bestFit="1" customWidth="1"/>
    <col min="4" max="4" width="1.25" style="1" customWidth="1"/>
    <col min="5" max="5" width="5.375" style="1" bestFit="1" customWidth="1"/>
    <col min="6" max="6" width="5.625" style="1" customWidth="1"/>
    <col min="7" max="7" width="24.375" style="1" customWidth="1"/>
    <col min="8" max="8" width="5.625" style="1" customWidth="1"/>
    <col min="9" max="9" width="5.25390625" style="1" customWidth="1"/>
    <col min="10" max="10" width="5.75390625" style="1" customWidth="1"/>
    <col min="11" max="11" width="5.625" style="1" customWidth="1"/>
    <col min="12" max="12" width="24.625" style="1" customWidth="1"/>
    <col min="13" max="13" width="6.25390625" style="1" customWidth="1"/>
    <col min="14" max="14" width="6.125" style="1" customWidth="1"/>
    <col min="15" max="15" width="6.25390625" style="1" customWidth="1"/>
    <col min="16" max="16" width="7.00390625" style="1" customWidth="1"/>
    <col min="17" max="16384" width="11.875" style="1" customWidth="1"/>
  </cols>
  <sheetData>
    <row r="1" spans="2:10" ht="15.75">
      <c r="B1" s="127" t="s">
        <v>83</v>
      </c>
      <c r="F1" s="2" t="s">
        <v>0</v>
      </c>
      <c r="J1" s="3"/>
    </row>
    <row r="2" spans="1:10" ht="12.75">
      <c r="A2" s="3"/>
      <c r="B2" s="22" t="s">
        <v>71</v>
      </c>
      <c r="C2" s="39"/>
      <c r="D2" s="3"/>
      <c r="E2" s="11"/>
      <c r="J2" s="3"/>
    </row>
    <row r="3" spans="1:16" ht="15.75">
      <c r="A3" s="3"/>
      <c r="B3" s="22" t="s">
        <v>74</v>
      </c>
      <c r="C3" s="4"/>
      <c r="D3" s="3"/>
      <c r="F3" s="2" t="str">
        <f>B1</f>
        <v>NZ Surf Series - Super 16 Final - pres by Skinnies and Volkswagen</v>
      </c>
      <c r="G3" s="5"/>
      <c r="P3" s="7">
        <f>IF(E2=1,5000,IF(E2=2,10000,IF(E2=3,15000,IF(E2=4,20000,IF(E2=5,25000,IF(E2=6,30000,""))))))</f>
      </c>
    </row>
    <row r="4" spans="2:10" ht="15.75">
      <c r="B4" s="22" t="s">
        <v>75</v>
      </c>
      <c r="C4" s="3"/>
      <c r="D4" s="3"/>
      <c r="F4" s="2" t="str">
        <f>B3</f>
        <v>SNZ2000</v>
      </c>
      <c r="H4" s="23" t="str">
        <f>B2</f>
        <v>Piha Beach, Auckland</v>
      </c>
      <c r="J4" s="3"/>
    </row>
    <row r="5" spans="1:10" ht="15.75">
      <c r="A5" s="59"/>
      <c r="B5" s="22" t="s">
        <v>77</v>
      </c>
      <c r="C5" s="60"/>
      <c r="F5" s="2" t="str">
        <f>$B$4</f>
        <v>16th May 2021</v>
      </c>
      <c r="H5" s="23"/>
      <c r="J5" s="3"/>
    </row>
    <row r="6" spans="1:12" ht="15">
      <c r="A6" s="60"/>
      <c r="B6" s="57" t="s">
        <v>2</v>
      </c>
      <c r="C6" s="60" t="s">
        <v>3</v>
      </c>
      <c r="F6" s="19"/>
      <c r="G6" s="8" t="str">
        <f>B5</f>
        <v>Open Women's Division</v>
      </c>
      <c r="H6" s="6" t="s">
        <v>69</v>
      </c>
      <c r="I6" s="9"/>
      <c r="J6" s="3"/>
      <c r="K6" s="14"/>
      <c r="L6" s="11"/>
    </row>
    <row r="7" spans="1:13" ht="11.25">
      <c r="A7" s="60"/>
      <c r="B7" s="57" t="s">
        <v>4</v>
      </c>
      <c r="C7" s="60" t="s">
        <v>5</v>
      </c>
      <c r="G7" s="9" t="s">
        <v>16</v>
      </c>
      <c r="H7" s="10">
        <f>IF($C$2=1,153,IF($C$2=2,305,IF($C$2=3,610,IF($C$2=4,915,IF($C$2=5,1220,IF($C$2=6,1525,""))))))</f>
      </c>
      <c r="I7" s="26"/>
      <c r="J7" s="10"/>
      <c r="L7" s="11"/>
      <c r="M7" s="13"/>
    </row>
    <row r="8" spans="1:14" ht="15">
      <c r="A8" s="60" t="s">
        <v>6</v>
      </c>
      <c r="B8" s="57" t="s">
        <v>7</v>
      </c>
      <c r="C8" s="60" t="s">
        <v>27</v>
      </c>
      <c r="G8" s="9" t="s">
        <v>17</v>
      </c>
      <c r="H8" s="10">
        <f>IF($C$2=1,139,IF($C$2=2,278,IF($C$2=3,555,IF($C$2=4,833,IF($C$2=5,1110,IF($C$2=6,1388,""))))))</f>
      </c>
      <c r="I8" s="26"/>
      <c r="J8" s="10"/>
      <c r="M8" s="8" t="str">
        <f>B5</f>
        <v>Open Women's Division</v>
      </c>
      <c r="N8" s="8" t="s">
        <v>70</v>
      </c>
    </row>
    <row r="9" spans="1:14" ht="15">
      <c r="A9" s="60" t="s">
        <v>11</v>
      </c>
      <c r="B9" s="57" t="s">
        <v>12</v>
      </c>
      <c r="C9" s="60" t="s">
        <v>22</v>
      </c>
      <c r="G9" s="6" t="s">
        <v>8</v>
      </c>
      <c r="H9" s="1" t="s">
        <v>23</v>
      </c>
      <c r="I9" s="1" t="s">
        <v>24</v>
      </c>
      <c r="L9" s="9" t="s">
        <v>18</v>
      </c>
      <c r="M9" s="10">
        <f>IF($C$2=4,1500,IF($C$2=5,2000,IF($C$2=6,2500,"")))</f>
      </c>
      <c r="N9" s="13"/>
    </row>
    <row r="10" spans="1:14" ht="14.25">
      <c r="A10" s="60" t="s">
        <v>13</v>
      </c>
      <c r="B10" s="57" t="s">
        <v>14</v>
      </c>
      <c r="C10" s="59"/>
      <c r="E10" s="9" t="str">
        <f>$C$6</f>
        <v>Red</v>
      </c>
      <c r="F10" s="104">
        <f>$C$11</f>
        <v>1</v>
      </c>
      <c r="G10" s="17" t="str">
        <f>$B$11</f>
        <v>Ava Henderson (Chch)</v>
      </c>
      <c r="H10" s="17"/>
      <c r="I10" s="17">
        <f>IF(ISNA(RANK(H10,$H$10:$H$13,0)),0,RANK(H10,$H$10:$H$13,0))</f>
        <v>0</v>
      </c>
      <c r="K10" s="20"/>
      <c r="L10" s="9" t="s">
        <v>19</v>
      </c>
      <c r="M10" s="10">
        <f>IF($C$2=4,1290,IF($C$2=5,1720,IF($C$2=6,2150,"")))</f>
      </c>
      <c r="N10" s="13"/>
    </row>
    <row r="11" spans="1:14" ht="14.25">
      <c r="A11" s="59">
        <v>1</v>
      </c>
      <c r="B11" s="121" t="s">
        <v>115</v>
      </c>
      <c r="C11" s="58">
        <v>1</v>
      </c>
      <c r="E11" s="9" t="str">
        <f>$C$7</f>
        <v>White</v>
      </c>
      <c r="F11" s="21">
        <f>$C$14</f>
        <v>4</v>
      </c>
      <c r="G11" s="17" t="str">
        <f>$B$14</f>
        <v>Anna Brock (Mnt)</v>
      </c>
      <c r="H11" s="17"/>
      <c r="I11" s="17">
        <f>IF(ISNA(RANK(H11,$H$10:$H$13,0)),0,RANK(H11,$H$10:$H$13,0))</f>
        <v>0</v>
      </c>
      <c r="K11" s="20"/>
      <c r="L11" s="9" t="s">
        <v>20</v>
      </c>
      <c r="M11" s="10">
        <f>IF($C$2=4,1095,IF($C$2=5,1460,IF($C$2=6,1825,"")))</f>
      </c>
      <c r="N11" s="13"/>
    </row>
    <row r="12" spans="1:14" ht="14.25">
      <c r="A12" s="59">
        <v>2</v>
      </c>
      <c r="B12" s="122" t="s">
        <v>140</v>
      </c>
      <c r="C12" s="58">
        <v>2</v>
      </c>
      <c r="E12" s="9" t="str">
        <f>$C$8</f>
        <v>Green</v>
      </c>
      <c r="F12" s="105">
        <f>$C$15</f>
        <v>5</v>
      </c>
      <c r="G12" s="17" t="str">
        <f>$B$15</f>
        <v>Ariana Shewry (Oakura)</v>
      </c>
      <c r="H12" s="17"/>
      <c r="I12" s="17">
        <f>IF(ISNA(RANK(H12,$H$10:$H$13,0)),0,RANK(H12,$H$10:$H$13,0))</f>
        <v>0</v>
      </c>
      <c r="K12" s="20"/>
      <c r="L12" s="9" t="s">
        <v>21</v>
      </c>
      <c r="M12" s="10">
        <f>IF($C$2=4,1005,IF($C$2=5,1340,IF($C$2=6,1675,"")))</f>
      </c>
      <c r="N12" s="13"/>
    </row>
    <row r="13" spans="1:14" ht="14.25">
      <c r="A13" s="59">
        <v>3</v>
      </c>
      <c r="B13" s="121" t="s">
        <v>141</v>
      </c>
      <c r="C13" s="58">
        <v>3</v>
      </c>
      <c r="E13" s="9" t="str">
        <f>$C$9</f>
        <v>Blue</v>
      </c>
      <c r="F13" s="106">
        <f>$C$18</f>
        <v>8</v>
      </c>
      <c r="G13" s="17" t="str">
        <f>$B$18</f>
        <v>Zhana Hutchieson (Tara)</v>
      </c>
      <c r="H13" s="17"/>
      <c r="I13" s="17">
        <f>IF(ISNA(RANK(H13,$H$10:$H$13,0)),0,RANK(H13,$H$10:$H$13,0))</f>
        <v>0</v>
      </c>
      <c r="J13" s="20"/>
      <c r="K13" s="27"/>
      <c r="M13" s="1" t="s">
        <v>23</v>
      </c>
      <c r="N13" s="1" t="s">
        <v>24</v>
      </c>
    </row>
    <row r="14" spans="1:14" ht="14.25">
      <c r="A14" s="59">
        <v>4</v>
      </c>
      <c r="B14" s="123" t="s">
        <v>118</v>
      </c>
      <c r="C14" s="58">
        <v>4</v>
      </c>
      <c r="E14" s="9"/>
      <c r="F14" s="20"/>
      <c r="G14" s="20"/>
      <c r="H14" s="20"/>
      <c r="I14" s="9"/>
      <c r="J14" s="9" t="str">
        <f>$C$6</f>
        <v>Red</v>
      </c>
      <c r="K14" s="104">
        <f>IF(I10=1,F10,IF(I11=1,F11,IF(I12=1,F12,IF(I13=1,F13,""))))</f>
      </c>
      <c r="L14" s="18">
        <f>IF(I10=1,G10,IF(I11=1,G11,IF(I12=1,G12,IF(I13=1,G13,1.1))))</f>
        <v>1.1</v>
      </c>
      <c r="M14" s="17"/>
      <c r="N14" s="24">
        <f>IF(ISNA(RANK(M14,$M$14:$M$17,0)),0,RANK(M14,$M$14:$M$17,0))</f>
        <v>0</v>
      </c>
    </row>
    <row r="15" spans="1:14" ht="14.25">
      <c r="A15" s="59">
        <v>5</v>
      </c>
      <c r="B15" s="121" t="s">
        <v>142</v>
      </c>
      <c r="C15" s="58">
        <v>5</v>
      </c>
      <c r="E15" s="9"/>
      <c r="F15" s="20"/>
      <c r="G15" s="20"/>
      <c r="H15" s="20"/>
      <c r="I15" s="9"/>
      <c r="J15" s="9" t="str">
        <f>$C$7</f>
        <v>White</v>
      </c>
      <c r="K15" s="21">
        <f>IF(I10=2,F10,IF(I11=2,F11,IF(I12=2,F12,IF(I13=2,F13,""))))</f>
      </c>
      <c r="L15" s="18">
        <f>IF(I10=2,G10,IF(I11=2,G11,IF(I12=2,G12,IF(I13=2,G13,2.1))))</f>
        <v>2.1</v>
      </c>
      <c r="M15" s="17"/>
      <c r="N15" s="24">
        <f>IF(ISNA(RANK(M15,$M$14:$M$17,0)),0,RANK(M15,$M$14:$M$17,0))</f>
        <v>0</v>
      </c>
    </row>
    <row r="16" spans="1:14" ht="14.25">
      <c r="A16" s="59">
        <v>6</v>
      </c>
      <c r="B16" s="123" t="s">
        <v>143</v>
      </c>
      <c r="C16" s="58">
        <v>6</v>
      </c>
      <c r="E16" s="9"/>
      <c r="F16" s="20"/>
      <c r="G16" s="20"/>
      <c r="H16" s="20"/>
      <c r="I16" s="9"/>
      <c r="J16" s="9" t="str">
        <f>$C$8</f>
        <v>Green</v>
      </c>
      <c r="K16" s="105">
        <f>IF(I18=1,F18,IF(I19=1,F19,IF(I20=1,F20,IF(I21=1,F21,""))))</f>
      </c>
      <c r="L16" s="18">
        <f>IF(I18=1,G18,IF(I19=1,G19,IF(I20=1,G20,IF(I21=1,G21,1.2))))</f>
        <v>1.2</v>
      </c>
      <c r="M16" s="17"/>
      <c r="N16" s="24">
        <f>IF(ISNA(RANK(M16,$M$14:$M$17,0)),0,RANK(M16,$M$14:$M$17,0))</f>
        <v>0</v>
      </c>
    </row>
    <row r="17" spans="1:14" ht="15">
      <c r="A17" s="59">
        <v>7</v>
      </c>
      <c r="B17" s="122" t="s">
        <v>144</v>
      </c>
      <c r="C17" s="58">
        <v>7</v>
      </c>
      <c r="E17" s="9"/>
      <c r="G17" s="6" t="s">
        <v>9</v>
      </c>
      <c r="H17" s="27"/>
      <c r="I17" s="9"/>
      <c r="J17" s="9" t="str">
        <f>$C$9</f>
        <v>Blue</v>
      </c>
      <c r="K17" s="106">
        <f>IF(I18=2,F18,IF(I19=2,F19,IF(I20=2,F20,IF(I21=2,F21,""))))</f>
      </c>
      <c r="L17" s="18">
        <f>IF(I18=2,G18,IF(I19=2,G19,IF(I20=2,G20,IF(I21=2,G21,2.2))))</f>
        <v>2.2</v>
      </c>
      <c r="M17" s="17"/>
      <c r="N17" s="24">
        <f>IF(ISNA(RANK(M17,$M$14:$M$17,0)),0,RANK(M17,$M$14:$M$17,0))</f>
        <v>0</v>
      </c>
    </row>
    <row r="18" spans="1:9" ht="14.25">
      <c r="A18" s="59">
        <v>8</v>
      </c>
      <c r="B18" s="122" t="s">
        <v>145</v>
      </c>
      <c r="C18" s="58">
        <v>8</v>
      </c>
      <c r="E18" s="9" t="str">
        <f>$C$6</f>
        <v>Red</v>
      </c>
      <c r="F18" s="104">
        <f>$C$12</f>
        <v>2</v>
      </c>
      <c r="G18" s="17" t="str">
        <f>$B$12</f>
        <v>Natasha Gouldsbury (Tara)</v>
      </c>
      <c r="H18" s="17"/>
      <c r="I18" s="17">
        <f>IF(ISNA(RANK(H18,$H$18:$H$21,0)),0,RANK(H18,$H$18:$H$21,0))</f>
        <v>0</v>
      </c>
    </row>
    <row r="19" spans="1:9" ht="14.25">
      <c r="A19" s="59">
        <v>9</v>
      </c>
      <c r="B19" s="58"/>
      <c r="C19" s="58">
        <v>9</v>
      </c>
      <c r="E19" s="9" t="str">
        <f>$C$7</f>
        <v>White</v>
      </c>
      <c r="F19" s="21">
        <f>$C$13</f>
        <v>3</v>
      </c>
      <c r="G19" s="17" t="str">
        <f>$B$13</f>
        <v>Gabrielle Paul (Piha)</v>
      </c>
      <c r="H19" s="17"/>
      <c r="I19" s="17">
        <f>IF(ISNA(RANK(H19,$H$18:$H$21,0)),0,RANK(H19,$H$18:$H$21,0))</f>
        <v>0</v>
      </c>
    </row>
    <row r="20" spans="1:14" ht="14.25">
      <c r="A20" s="59">
        <v>10</v>
      </c>
      <c r="B20" s="58"/>
      <c r="C20" s="58">
        <v>10</v>
      </c>
      <c r="E20" s="9" t="str">
        <f>$C$8</f>
        <v>Green</v>
      </c>
      <c r="F20" s="105">
        <f>$C$16</f>
        <v>6</v>
      </c>
      <c r="G20" s="17" t="str">
        <f>$B$16</f>
        <v>Georgia Wederell (Mnt)</v>
      </c>
      <c r="H20" s="17"/>
      <c r="I20" s="17">
        <f>IF(ISNA(RANK(H20,$H$18:$H$21,0)),0,RANK(H20,$H$18:$H$21,0))</f>
        <v>0</v>
      </c>
      <c r="K20" s="27"/>
      <c r="L20" s="27"/>
      <c r="M20" s="27"/>
      <c r="N20" s="27"/>
    </row>
    <row r="21" spans="1:14" ht="14.25">
      <c r="A21" s="59">
        <v>11</v>
      </c>
      <c r="B21" s="58"/>
      <c r="C21" s="58">
        <v>11</v>
      </c>
      <c r="E21" s="9" t="str">
        <f>$C$9</f>
        <v>Blue</v>
      </c>
      <c r="F21" s="106">
        <f>$C$17</f>
        <v>7</v>
      </c>
      <c r="G21" s="17" t="str">
        <f>$B$17</f>
        <v>Ella Williams (Whmata)</v>
      </c>
      <c r="H21" s="17"/>
      <c r="I21" s="17">
        <f>IF(ISNA(RANK(H21,$H$18:$H$21,0)),0,RANK(H21,$H$18:$H$21,0))</f>
        <v>0</v>
      </c>
      <c r="K21" s="27"/>
      <c r="L21" s="27"/>
      <c r="M21" s="27"/>
      <c r="N21" s="27"/>
    </row>
    <row r="22" spans="1:10" ht="14.25">
      <c r="A22" s="59">
        <v>12</v>
      </c>
      <c r="B22" s="58"/>
      <c r="C22" s="58">
        <v>12</v>
      </c>
      <c r="E22" s="9"/>
      <c r="F22" s="16"/>
      <c r="G22" s="20"/>
      <c r="H22" s="20"/>
      <c r="J22" s="20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showGridLines="0" tabSelected="1" view="pageBreakPreview" zoomScale="80" zoomScaleNormal="75" zoomScaleSheetLayoutView="80" zoomScalePageLayoutView="0" workbookViewId="0" topLeftCell="B10">
      <selection activeCell="Q23" sqref="Q23"/>
    </sheetView>
  </sheetViews>
  <sheetFormatPr defaultColWidth="11.875" defaultRowHeight="12.75"/>
  <cols>
    <col min="1" max="1" width="2.75390625" style="1" customWidth="1"/>
    <col min="2" max="2" width="42.25390625" style="1" customWidth="1"/>
    <col min="3" max="3" width="5.625" style="1" bestFit="1" customWidth="1"/>
    <col min="4" max="4" width="3.25390625" style="1" customWidth="1"/>
    <col min="5" max="5" width="5.375" style="1" bestFit="1" customWidth="1"/>
    <col min="6" max="6" width="5.625" style="1" customWidth="1"/>
    <col min="7" max="7" width="24.375" style="1" customWidth="1"/>
    <col min="8" max="8" width="5.625" style="1" customWidth="1"/>
    <col min="9" max="9" width="4.375" style="1" customWidth="1"/>
    <col min="10" max="10" width="2.75390625" style="1" customWidth="1"/>
    <col min="11" max="11" width="5.625" style="1" customWidth="1"/>
    <col min="12" max="12" width="24.375" style="1" customWidth="1"/>
    <col min="13" max="14" width="5.625" style="1" customWidth="1"/>
    <col min="15" max="15" width="2.75390625" style="1" customWidth="1"/>
    <col min="16" max="16" width="7.00390625" style="1" customWidth="1"/>
    <col min="17" max="17" width="24.375" style="1" customWidth="1"/>
    <col min="18" max="18" width="7.375" style="1" customWidth="1"/>
    <col min="19" max="19" width="6.25390625" style="1" bestFit="1" customWidth="1"/>
    <col min="20" max="16384" width="11.875" style="1" customWidth="1"/>
  </cols>
  <sheetData>
    <row r="1" spans="2:10" ht="15.75">
      <c r="B1" s="22" t="s">
        <v>82</v>
      </c>
      <c r="F1" s="2" t="s">
        <v>0</v>
      </c>
      <c r="J1" s="3"/>
    </row>
    <row r="2" spans="1:10" ht="12.75">
      <c r="A2" s="3"/>
      <c r="B2" s="22" t="s">
        <v>71</v>
      </c>
      <c r="C2" s="39"/>
      <c r="D2" s="3"/>
      <c r="E2" s="11"/>
      <c r="J2" s="3"/>
    </row>
    <row r="3" spans="1:18" ht="15.75">
      <c r="A3" s="3"/>
      <c r="B3" s="22" t="s">
        <v>72</v>
      </c>
      <c r="C3" s="4"/>
      <c r="D3" s="3"/>
      <c r="F3" s="2" t="str">
        <f>B1</f>
        <v>NZ Grom Series - Super 16 Final - pres by Skinnies and Volkswagen</v>
      </c>
      <c r="G3" s="5"/>
      <c r="R3" s="7">
        <f>IF(E2=1,5000,IF(E2=2,10000,IF(E2=3,15000,IF(E2=4,20000,IF(E2=5,25000,IF(E2=6,30000,""))))))</f>
      </c>
    </row>
    <row r="4" spans="2:10" ht="15.75">
      <c r="B4" s="22" t="s">
        <v>73</v>
      </c>
      <c r="C4" s="3"/>
      <c r="D4" s="3"/>
      <c r="F4" s="2" t="str">
        <f>B3</f>
        <v>SNZ Sanctioned</v>
      </c>
      <c r="H4" s="23" t="str">
        <f>B2</f>
        <v>Piha Beach, Auckland</v>
      </c>
      <c r="J4" s="3"/>
    </row>
    <row r="5" spans="1:13" ht="15.75">
      <c r="A5" s="59"/>
      <c r="B5" s="22" t="s">
        <v>78</v>
      </c>
      <c r="C5" s="60"/>
      <c r="F5" s="2" t="str">
        <f>$B$4</f>
        <v>15th May 2021</v>
      </c>
      <c r="I5" s="9" t="s">
        <v>28</v>
      </c>
      <c r="J5" s="3"/>
      <c r="K5" s="10">
        <f>IF($C$2=4,750,IF($C$2=5,1000,IF($C$2=6,1250,"")))</f>
      </c>
      <c r="L5" s="11" t="s">
        <v>68</v>
      </c>
      <c r="M5" s="13"/>
    </row>
    <row r="6" spans="1:13" ht="15">
      <c r="A6" s="60"/>
      <c r="B6" s="57" t="s">
        <v>2</v>
      </c>
      <c r="C6" s="60" t="s">
        <v>3</v>
      </c>
      <c r="G6" s="5" t="str">
        <f>B5</f>
        <v>Under 18 Boys Division</v>
      </c>
      <c r="I6" s="9" t="s">
        <v>29</v>
      </c>
      <c r="K6" s="10">
        <f>IF($C$2=4,675,IF($C$2=5,900,IF($C$2=6,1125,"")))</f>
      </c>
      <c r="L6" s="11" t="s">
        <v>68</v>
      </c>
      <c r="M6" s="13"/>
    </row>
    <row r="7" spans="1:9" ht="15">
      <c r="A7" s="60"/>
      <c r="B7" s="57" t="s">
        <v>4</v>
      </c>
      <c r="C7" s="60" t="s">
        <v>5</v>
      </c>
      <c r="G7" s="6" t="s">
        <v>46</v>
      </c>
      <c r="H7" s="1" t="s">
        <v>23</v>
      </c>
      <c r="I7" s="1" t="s">
        <v>24</v>
      </c>
    </row>
    <row r="8" spans="1:7" ht="15">
      <c r="A8" s="60" t="s">
        <v>6</v>
      </c>
      <c r="B8" s="57" t="s">
        <v>7</v>
      </c>
      <c r="C8" s="60" t="s">
        <v>27</v>
      </c>
      <c r="G8" s="6" t="s">
        <v>8</v>
      </c>
    </row>
    <row r="9" spans="1:19" ht="15">
      <c r="A9" s="60" t="s">
        <v>11</v>
      </c>
      <c r="B9" s="57" t="s">
        <v>12</v>
      </c>
      <c r="C9" s="60" t="s">
        <v>22</v>
      </c>
      <c r="E9" s="9" t="str">
        <f>$C$6</f>
        <v>Red</v>
      </c>
      <c r="F9" s="104">
        <f>$C$14</f>
        <v>4</v>
      </c>
      <c r="G9" s="17" t="str">
        <f>$B$14</f>
        <v>Kora Cooper (Rag)</v>
      </c>
      <c r="H9" s="17">
        <v>9.07</v>
      </c>
      <c r="I9" s="17">
        <f>IF(ISNA(RANK(H9,$H$9:$H$12,0)),0,RANK(H9,$H$9:$H$12,0))</f>
        <v>2</v>
      </c>
      <c r="J9" s="20"/>
      <c r="K9" s="27"/>
      <c r="L9" s="19" t="str">
        <f>B5</f>
        <v>Under 18 Boys Division</v>
      </c>
      <c r="M9" s="6" t="s">
        <v>69</v>
      </c>
      <c r="P9" s="27"/>
      <c r="Q9" s="27"/>
      <c r="R9" s="27"/>
      <c r="S9" s="27"/>
    </row>
    <row r="10" spans="1:19" ht="14.25">
      <c r="A10" s="60" t="s">
        <v>13</v>
      </c>
      <c r="B10" s="57" t="s">
        <v>14</v>
      </c>
      <c r="C10" s="59"/>
      <c r="E10" s="9" t="str">
        <f>$C$7</f>
        <v>White</v>
      </c>
      <c r="F10" s="21">
        <f>$C$15</f>
        <v>5</v>
      </c>
      <c r="G10" s="17" t="str">
        <f>$B$15</f>
        <v>Josef Jungwirth (Rag)</v>
      </c>
      <c r="H10" s="17">
        <v>9.2</v>
      </c>
      <c r="I10" s="17">
        <f>IF(ISNA(RANK(H10,$H$9:$H$12,0)),0,RANK(H10,$H$9:$H$12,0))</f>
        <v>1</v>
      </c>
      <c r="J10" s="20"/>
      <c r="K10" s="28"/>
      <c r="L10" s="9" t="s">
        <v>16</v>
      </c>
      <c r="M10" s="10">
        <f>IF($C$2=1,153,IF($C$2=2,305,IF($C$2=3,610,IF($C$2=4,915,IF($C$2=5,1220,IF($C$2=6,1525,""))))))</f>
      </c>
      <c r="N10" s="13"/>
      <c r="P10" s="27"/>
      <c r="Q10" s="27"/>
      <c r="R10" s="27"/>
      <c r="S10" s="27"/>
    </row>
    <row r="11" spans="1:19" ht="14.25">
      <c r="A11" s="59">
        <v>1</v>
      </c>
      <c r="B11" s="107" t="s">
        <v>84</v>
      </c>
      <c r="C11" s="58">
        <v>1</v>
      </c>
      <c r="E11" s="9" t="str">
        <f>$C$8</f>
        <v>Green</v>
      </c>
      <c r="F11" s="105">
        <f>$C$22</f>
        <v>12</v>
      </c>
      <c r="G11" s="17" t="str">
        <f>$B$22</f>
        <v>Te Kauwhata Kauwhata (Whngrei)</v>
      </c>
      <c r="H11" s="17">
        <v>7</v>
      </c>
      <c r="I11" s="17">
        <f>IF(ISNA(RANK(H11,$H$9:$H$12,0)),0,RANK(H11,$H$9:$H$12,0))</f>
        <v>3</v>
      </c>
      <c r="J11" s="20"/>
      <c r="K11" s="28"/>
      <c r="L11" s="9" t="s">
        <v>17</v>
      </c>
      <c r="M11" s="10">
        <f>IF($C$2=1,139,IF($C$2=2,278,IF($C$2=3,555,IF($C$2=4,833,IF($C$2=5,1110,IF($C$2=6,1388,""))))))</f>
      </c>
      <c r="N11" s="13"/>
      <c r="P11" s="27"/>
      <c r="Q11" s="27"/>
      <c r="R11" s="27"/>
      <c r="S11" s="27"/>
    </row>
    <row r="12" spans="1:19" ht="15">
      <c r="A12" s="59">
        <v>2</v>
      </c>
      <c r="B12" s="108" t="s">
        <v>85</v>
      </c>
      <c r="C12" s="58">
        <v>2</v>
      </c>
      <c r="E12" s="9" t="str">
        <f>$C$9</f>
        <v>Blue</v>
      </c>
      <c r="F12" s="106">
        <f>$C$23</f>
        <v>13</v>
      </c>
      <c r="G12" s="17" t="str">
        <f>$B$23</f>
        <v>Connor Van Der Pol (Mnt)</v>
      </c>
      <c r="H12" s="17">
        <v>4.14</v>
      </c>
      <c r="I12" s="17">
        <f>IF(ISNA(RANK(H12,$H$9:$H$12,0)),0,RANK(H12,$H$9:$H$12,0))</f>
        <v>4</v>
      </c>
      <c r="J12" s="27"/>
      <c r="L12" s="6" t="s">
        <v>8</v>
      </c>
      <c r="M12" s="1" t="s">
        <v>23</v>
      </c>
      <c r="N12" s="1" t="s">
        <v>24</v>
      </c>
      <c r="O12" s="20"/>
      <c r="P12" s="27"/>
      <c r="Q12" s="27"/>
      <c r="R12" s="27"/>
      <c r="S12" s="27"/>
    </row>
    <row r="13" spans="1:19" ht="14.25">
      <c r="A13" s="59">
        <v>3</v>
      </c>
      <c r="B13" s="109" t="s">
        <v>86</v>
      </c>
      <c r="C13" s="58">
        <v>3</v>
      </c>
      <c r="E13" s="9"/>
      <c r="F13" s="20"/>
      <c r="G13" s="20"/>
      <c r="H13" s="20"/>
      <c r="I13" s="9" t="str">
        <f>$C$6</f>
        <v>Red</v>
      </c>
      <c r="J13" s="27"/>
      <c r="K13" s="104">
        <f>IF(I9=1,F9,IF(I10=1,F10,IF(I11=1,F11,IF(I12=1,F12,""))))</f>
        <v>5</v>
      </c>
      <c r="L13" s="18" t="str">
        <f>IF(I9=1,G9,IF(I10=1,G10,IF(I11=1,G11,IF(I12=1,G12,1.1))))</f>
        <v>Josef Jungwirth (Rag)</v>
      </c>
      <c r="M13" s="17">
        <v>12.77</v>
      </c>
      <c r="N13" s="17">
        <f>IF(ISNA(RANK(M13,$M$13:$M$16,0)),0,RANK(M13,$M$13:$M$16,0))</f>
        <v>1</v>
      </c>
      <c r="O13" s="20"/>
      <c r="P13" s="27"/>
      <c r="Q13" s="27"/>
      <c r="R13" s="27"/>
      <c r="S13" s="27"/>
    </row>
    <row r="14" spans="1:19" ht="15">
      <c r="A14" s="59">
        <v>4</v>
      </c>
      <c r="B14" s="109" t="s">
        <v>87</v>
      </c>
      <c r="C14" s="58">
        <v>4</v>
      </c>
      <c r="E14" s="9"/>
      <c r="F14" s="20"/>
      <c r="G14" s="20"/>
      <c r="H14" s="20"/>
      <c r="I14" s="9" t="str">
        <f>$C$7</f>
        <v>White</v>
      </c>
      <c r="J14" s="27"/>
      <c r="K14" s="21">
        <f>IF(I17=1,F17,IF(I18=1,F18,IF(I19=1,F19,IF(I20=1,F20,""))))</f>
        <v>1</v>
      </c>
      <c r="L14" s="18" t="str">
        <f>IF(I17=1,G17,IF(I18=1,G18,IF(I19=1,G19,IF(I20=1,G20,1.2))))</f>
        <v>Finn Vette (Gis)</v>
      </c>
      <c r="M14" s="17">
        <v>10.1</v>
      </c>
      <c r="N14" s="17">
        <f>IF(ISNA(RANK(M14,$M$13:$M$16,0)),0,RANK(M14,$M$13:$M$16,0))</f>
        <v>2</v>
      </c>
      <c r="O14" s="20"/>
      <c r="P14" s="27"/>
      <c r="Q14" s="8" t="str">
        <f>B5</f>
        <v>Under 18 Boys Division</v>
      </c>
      <c r="R14" s="8" t="s">
        <v>70</v>
      </c>
      <c r="S14" s="27"/>
    </row>
    <row r="15" spans="1:19" ht="14.25">
      <c r="A15" s="59">
        <v>5</v>
      </c>
      <c r="B15" s="109" t="s">
        <v>88</v>
      </c>
      <c r="C15" s="58">
        <v>5</v>
      </c>
      <c r="E15" s="9"/>
      <c r="F15" s="20"/>
      <c r="G15" s="20"/>
      <c r="H15" s="20"/>
      <c r="I15" s="9" t="str">
        <f>$C$8</f>
        <v>Green</v>
      </c>
      <c r="J15" s="27"/>
      <c r="K15" s="105">
        <f>IF(I23=2,F23,IF(I24=2,F24,IF(I25=2,F25,IF(I26=2,F26,""))))</f>
        <v>10</v>
      </c>
      <c r="L15" s="18" t="str">
        <f>IF(I23=2,G23,IF(I24=2,G24,IF(I25=2,G25,IF(I26=2,G26,2.3))))</f>
        <v>Ben Moretti (Ahipara)</v>
      </c>
      <c r="M15" s="17">
        <v>9.57</v>
      </c>
      <c r="N15" s="17">
        <f>IF(ISNA(RANK(M15,$M$13:$M$16,0)),0,RANK(M15,$M$13:$M$16,0))</f>
        <v>4</v>
      </c>
      <c r="O15" s="20"/>
      <c r="P15" s="3"/>
      <c r="Q15" s="14" t="s">
        <v>18</v>
      </c>
      <c r="R15" s="25">
        <f>IF($C$2=4,1500,IF($C$2=5,2000,IF($C$2=6,2500,"")))</f>
      </c>
      <c r="S15" s="51"/>
    </row>
    <row r="16" spans="1:19" ht="15">
      <c r="A16" s="59">
        <v>6</v>
      </c>
      <c r="B16" s="108" t="s">
        <v>89</v>
      </c>
      <c r="C16" s="58">
        <v>6</v>
      </c>
      <c r="E16" s="9"/>
      <c r="G16" s="6" t="s">
        <v>9</v>
      </c>
      <c r="H16" s="27"/>
      <c r="I16" s="9" t="str">
        <f>$C$9</f>
        <v>Blue</v>
      </c>
      <c r="J16" s="27"/>
      <c r="K16" s="106">
        <f>IF(I31=2,F31,IF(I32=2,F32,IF(I33=2,F33,IF(I34=2,F34,""))))</f>
        <v>11</v>
      </c>
      <c r="L16" s="18" t="str">
        <f>IF(I31=2,G31,IF(I32=2,G32,IF(I33=2,G33,IF(I34=2,G34,2.4))))</f>
        <v>Max de Groot (HBay)</v>
      </c>
      <c r="M16" s="17">
        <v>9.8</v>
      </c>
      <c r="N16" s="17">
        <f>IF(ISNA(RANK(M16,$M$13:$M$16,0)),0,RANK(M16,$M$13:$M$16,0))</f>
        <v>3</v>
      </c>
      <c r="O16" s="27"/>
      <c r="P16" s="3"/>
      <c r="Q16" s="14" t="s">
        <v>19</v>
      </c>
      <c r="R16" s="25">
        <f>IF($C$2=4,1290,IF($C$2=5,1720,IF($C$2=6,2150,"")))</f>
      </c>
      <c r="S16" s="51"/>
    </row>
    <row r="17" spans="1:19" ht="14.25">
      <c r="A17" s="59">
        <v>7</v>
      </c>
      <c r="B17" s="108" t="s">
        <v>90</v>
      </c>
      <c r="C17" s="58">
        <v>7</v>
      </c>
      <c r="E17" s="9" t="str">
        <f>$C$6</f>
        <v>Red</v>
      </c>
      <c r="F17" s="104">
        <f>$C$11</f>
        <v>1</v>
      </c>
      <c r="G17" s="17" t="str">
        <f>$B$11</f>
        <v>Finn Vette (Gis)</v>
      </c>
      <c r="H17" s="17">
        <v>13.5</v>
      </c>
      <c r="I17" s="17">
        <f>IF(ISNA(RANK(H17,$H$17:$H$20,0)),0,RANK(H17,$H$17:$H$20,0))</f>
        <v>1</v>
      </c>
      <c r="J17" s="20"/>
      <c r="K17" s="27"/>
      <c r="L17" s="27"/>
      <c r="M17" s="27"/>
      <c r="N17" s="27"/>
      <c r="O17" s="27"/>
      <c r="P17" s="3"/>
      <c r="Q17" s="14" t="s">
        <v>20</v>
      </c>
      <c r="R17" s="25">
        <f>IF($C$2=4,1095,IF($C$2=5,1460,IF($C$2=6,1825,"")))</f>
      </c>
      <c r="S17" s="51"/>
    </row>
    <row r="18" spans="1:19" ht="14.25">
      <c r="A18" s="59">
        <v>8</v>
      </c>
      <c r="B18" s="110" t="s">
        <v>91</v>
      </c>
      <c r="C18" s="58">
        <v>8</v>
      </c>
      <c r="E18" s="9" t="str">
        <f>$C$7</f>
        <v>White</v>
      </c>
      <c r="F18" s="21">
        <f>$C$18</f>
        <v>8</v>
      </c>
      <c r="G18" s="17" t="str">
        <f>$B$18</f>
        <v>Ari D'Anvers (whngrei)</v>
      </c>
      <c r="H18" s="17">
        <v>9.24</v>
      </c>
      <c r="I18" s="17">
        <f>IF(ISNA(RANK(H18,$H$17:$H$20,0)),0,RANK(H18,$H$17:$H$20,0))</f>
        <v>2</v>
      </c>
      <c r="J18" s="20"/>
      <c r="K18" s="27"/>
      <c r="L18" s="27"/>
      <c r="M18" s="27"/>
      <c r="N18" s="27"/>
      <c r="O18" s="27"/>
      <c r="P18" s="3"/>
      <c r="Q18" s="14" t="s">
        <v>21</v>
      </c>
      <c r="R18" s="25">
        <f>IF($C$2=4,1005,IF($C$2=5,1340,IF($C$2=6,1675,"")))</f>
      </c>
      <c r="S18" s="51"/>
    </row>
    <row r="19" spans="1:19" ht="14.25">
      <c r="A19" s="59">
        <v>9</v>
      </c>
      <c r="B19" s="108" t="s">
        <v>92</v>
      </c>
      <c r="C19" s="58">
        <v>9</v>
      </c>
      <c r="E19" s="9" t="str">
        <f>$C$8</f>
        <v>Green</v>
      </c>
      <c r="F19" s="105">
        <f>$C$19</f>
        <v>9</v>
      </c>
      <c r="G19" s="17" t="str">
        <f>$B$19</f>
        <v>Jai Wallis (Piha)</v>
      </c>
      <c r="H19" s="17">
        <v>9.1</v>
      </c>
      <c r="I19" s="17">
        <f>IF(ISNA(RANK(H19,$H$17:$H$20,0)),0,RANK(H19,$H$17:$H$20,0))</f>
        <v>3</v>
      </c>
      <c r="J19" s="20"/>
      <c r="K19" s="27"/>
      <c r="L19" s="27"/>
      <c r="M19" s="27"/>
      <c r="N19" s="27"/>
      <c r="O19" s="27"/>
      <c r="R19" s="1" t="s">
        <v>23</v>
      </c>
      <c r="S19" s="1" t="s">
        <v>24</v>
      </c>
    </row>
    <row r="20" spans="1:19" ht="14.25">
      <c r="A20" s="59">
        <v>10</v>
      </c>
      <c r="B20" s="108" t="s">
        <v>93</v>
      </c>
      <c r="C20" s="58">
        <v>10</v>
      </c>
      <c r="E20" s="9" t="str">
        <f>$C$9</f>
        <v>Blue</v>
      </c>
      <c r="F20" s="106">
        <f>$C$26</f>
        <v>16</v>
      </c>
      <c r="G20" s="17">
        <f>$B$26</f>
        <v>0</v>
      </c>
      <c r="H20" s="17"/>
      <c r="I20" s="17">
        <f>IF(ISNA(RANK(H20,$H$17:$H$20,0)),0,RANK(H20,$H$17:$H$20,0))</f>
        <v>0</v>
      </c>
      <c r="J20" s="27"/>
      <c r="K20" s="27"/>
      <c r="L20" s="27"/>
      <c r="M20" s="27"/>
      <c r="N20" s="9" t="str">
        <f>$C$6</f>
        <v>Red</v>
      </c>
      <c r="O20" s="27"/>
      <c r="P20" s="104">
        <f>IF(N13=1,K13,IF(N14=1,K14,IF(N15=1,K15,IF(N16=1,K16,""))))</f>
        <v>5</v>
      </c>
      <c r="Q20" s="18" t="str">
        <f>IF(N13=1,L13,IF(N14=1,L14,IF(N15=1,L15,IF(N16=1,L16,1.1))))</f>
        <v>Josef Jungwirth (Rag)</v>
      </c>
      <c r="R20" s="17">
        <v>12.83</v>
      </c>
      <c r="S20" s="17">
        <f>IF(ISNA(RANK(R20,$R$20:$R$23,0)),0,RANK(R20,$R$20:$R$23,0))</f>
        <v>2</v>
      </c>
    </row>
    <row r="21" spans="1:19" ht="14.25">
      <c r="A21" s="59">
        <v>11</v>
      </c>
      <c r="B21" s="109" t="s">
        <v>94</v>
      </c>
      <c r="C21" s="58">
        <v>11</v>
      </c>
      <c r="E21" s="9"/>
      <c r="F21" s="20"/>
      <c r="G21" s="20"/>
      <c r="H21" s="20"/>
      <c r="I21" s="20"/>
      <c r="J21" s="20"/>
      <c r="K21" s="27"/>
      <c r="L21" s="27"/>
      <c r="M21" s="27"/>
      <c r="N21" s="9" t="str">
        <f>$C$7</f>
        <v>White</v>
      </c>
      <c r="O21" s="27"/>
      <c r="P21" s="21">
        <f>IF(N13=2,K13,IF(N14=2,K14,IF(N15=2,K15,IF(N16=2,K16,""))))</f>
        <v>1</v>
      </c>
      <c r="Q21" s="18" t="str">
        <f>IF(N13=2,L13,IF(N14=2,L14,IF(N15=2,L15,IF(N16=2,L16,2.1))))</f>
        <v>Finn Vette (Gis)</v>
      </c>
      <c r="R21" s="17">
        <v>14.67</v>
      </c>
      <c r="S21" s="17">
        <f>IF(ISNA(RANK(R21,$R$20:$R$23,0)),0,RANK(R21,$R$20:$R$23,0))</f>
        <v>1</v>
      </c>
    </row>
    <row r="22" spans="1:19" ht="15">
      <c r="A22" s="59">
        <v>12</v>
      </c>
      <c r="B22" s="109" t="s">
        <v>95</v>
      </c>
      <c r="C22" s="58">
        <v>12</v>
      </c>
      <c r="E22" s="9"/>
      <c r="G22" s="6" t="s">
        <v>10</v>
      </c>
      <c r="I22" s="1" t="s">
        <v>24</v>
      </c>
      <c r="J22" s="20"/>
      <c r="K22" s="27"/>
      <c r="L22" s="27"/>
      <c r="M22" s="27"/>
      <c r="N22" s="9" t="str">
        <f>$C$8</f>
        <v>Green</v>
      </c>
      <c r="O22" s="27"/>
      <c r="P22" s="105">
        <f>IF(N27=1,K27,IF(N28=1,K28,IF(N29=1,K29,IF(N30=1,K30,""))))</f>
        <v>4</v>
      </c>
      <c r="Q22" s="18" t="str">
        <f>IF(N27=1,L27,IF(N28=1,L28,IF(N29=1,L29,IF(N30=1,L30,1.2))))</f>
        <v>Ari D'Anvers (whngrei)</v>
      </c>
      <c r="R22" s="17">
        <v>12.33</v>
      </c>
      <c r="S22" s="17">
        <f>IF(ISNA(RANK(R22,$R$20:$R$23,0)),0,RANK(R22,$R$20:$R$23,0))</f>
        <v>3</v>
      </c>
    </row>
    <row r="23" spans="1:19" ht="14.25">
      <c r="A23" s="59">
        <v>13</v>
      </c>
      <c r="B23" s="108" t="s">
        <v>96</v>
      </c>
      <c r="C23" s="58">
        <v>13</v>
      </c>
      <c r="E23" s="9" t="str">
        <f>$C$6</f>
        <v>Red</v>
      </c>
      <c r="F23" s="104">
        <f>$C$12</f>
        <v>2</v>
      </c>
      <c r="G23" s="17" t="str">
        <f>$B$12</f>
        <v>Jack Hinton (Mnt)</v>
      </c>
      <c r="H23" s="17">
        <v>8.5</v>
      </c>
      <c r="I23" s="17">
        <f>IF(ISNA(RANK(H23,$H$23:$H$26,0)),0,RANK(H23,$H$23:$H$26,0))</f>
        <v>1</v>
      </c>
      <c r="J23" s="20"/>
      <c r="K23" s="27"/>
      <c r="L23" s="27"/>
      <c r="M23" s="27"/>
      <c r="N23" s="9" t="str">
        <f>$C$9</f>
        <v>Blue</v>
      </c>
      <c r="O23" s="27"/>
      <c r="P23" s="106">
        <f>IF(N27=2,K27,IF(N28=2,K28,IF(N29=2,K29,IF(N30=2,K30,""))))</f>
        <v>8</v>
      </c>
      <c r="Q23" s="18" t="str">
        <f>IF(N27=2,L27,IF(N28=2,L28,IF(N29=2,L29,IF(N30=2,L30,2.2))))</f>
        <v>Kora Cooper (Rag)</v>
      </c>
      <c r="R23" s="17">
        <v>12.27</v>
      </c>
      <c r="S23" s="17">
        <f>IF(ISNA(RANK(R23,$R$20:$R$23,0)),0,RANK(R23,$R$20:$R$23,0))</f>
        <v>4</v>
      </c>
    </row>
    <row r="24" spans="1:19" ht="14.25">
      <c r="A24" s="59">
        <v>14</v>
      </c>
      <c r="B24" s="108"/>
      <c r="C24" s="58">
        <v>14</v>
      </c>
      <c r="E24" s="9" t="str">
        <f>$C$7</f>
        <v>White</v>
      </c>
      <c r="F24" s="21">
        <f>$C$17</f>
        <v>7</v>
      </c>
      <c r="G24" s="17" t="str">
        <f>$B$17</f>
        <v>Jackson Peak (Auck)</v>
      </c>
      <c r="H24" s="17">
        <v>6.03</v>
      </c>
      <c r="I24" s="17">
        <f>IF(ISNA(RANK(H24,$H$23:$H$26,0)),0,RANK(H24,$H$23:$H$26,0))</f>
        <v>3</v>
      </c>
      <c r="J24" s="27"/>
      <c r="K24" s="27"/>
      <c r="L24" s="27"/>
      <c r="M24" s="27"/>
      <c r="N24" s="27"/>
      <c r="O24" s="20"/>
      <c r="P24" s="27"/>
      <c r="Q24" s="27"/>
      <c r="R24" s="27"/>
      <c r="S24" s="27"/>
    </row>
    <row r="25" spans="1:19" ht="14.25">
      <c r="A25" s="59">
        <v>15</v>
      </c>
      <c r="B25" s="61"/>
      <c r="C25" s="58">
        <v>15</v>
      </c>
      <c r="E25" s="9" t="str">
        <f>$C$8</f>
        <v>Green</v>
      </c>
      <c r="F25" s="105">
        <f>$C$20</f>
        <v>10</v>
      </c>
      <c r="G25" s="17" t="str">
        <f>$B$20</f>
        <v>Ben Moretti (Ahipara)</v>
      </c>
      <c r="H25" s="17">
        <v>6.7</v>
      </c>
      <c r="I25" s="17">
        <f>IF(ISNA(RANK(H25,$H$23:$H$26,0)),0,RANK(H25,$H$23:$H$26,0))</f>
        <v>2</v>
      </c>
      <c r="J25" s="27"/>
      <c r="K25" s="27"/>
      <c r="M25" s="27"/>
      <c r="N25" s="27"/>
      <c r="O25" s="20"/>
      <c r="P25" s="27"/>
      <c r="Q25" s="27"/>
      <c r="R25" s="27"/>
      <c r="S25" s="27"/>
    </row>
    <row r="26" spans="1:19" ht="15">
      <c r="A26" s="59">
        <v>16</v>
      </c>
      <c r="B26" s="61"/>
      <c r="C26" s="58">
        <v>16</v>
      </c>
      <c r="E26" s="9" t="str">
        <f>$C$9</f>
        <v>Blue</v>
      </c>
      <c r="F26" s="106">
        <f>$C$25</f>
        <v>15</v>
      </c>
      <c r="G26" s="17">
        <f>$B$25</f>
        <v>0</v>
      </c>
      <c r="H26" s="17"/>
      <c r="I26" s="17">
        <f>IF(ISNA(RANK(H26,$H$23:$H$26,0)),0,RANK(H26,$H$23:$H$26,0))</f>
        <v>0</v>
      </c>
      <c r="J26" s="27"/>
      <c r="L26" s="6" t="s">
        <v>9</v>
      </c>
      <c r="M26" s="27"/>
      <c r="N26" s="27"/>
      <c r="O26" s="20"/>
      <c r="P26" s="27"/>
      <c r="Q26" s="27"/>
      <c r="R26" s="27"/>
      <c r="S26" s="27"/>
    </row>
    <row r="27" spans="2:19" ht="14.25">
      <c r="B27" s="15"/>
      <c r="C27" s="12"/>
      <c r="E27" s="9"/>
      <c r="F27" s="20"/>
      <c r="G27" s="20"/>
      <c r="H27" s="20"/>
      <c r="I27" s="9" t="str">
        <f>$C$6</f>
        <v>Red</v>
      </c>
      <c r="J27" s="27"/>
      <c r="K27" s="104">
        <f>IF(I17=2,F17,IF(I18=2,F18,IF(I19=2,F19,IF(I20=2,F20,""))))</f>
        <v>8</v>
      </c>
      <c r="L27" s="18" t="str">
        <f>IF(I9=2,G9,IF(I10=2,G10,IF(I11=2,G11,IF(I12=2,G12,2.1))))</f>
        <v>Kora Cooper (Rag)</v>
      </c>
      <c r="M27" s="17">
        <v>10.76</v>
      </c>
      <c r="N27" s="17">
        <f>IF(ISNA(RANK(M27,$M$27:$M$30,0)),0,RANK(M27,$M$27:$M$30,0))</f>
        <v>2</v>
      </c>
      <c r="O27" s="20"/>
      <c r="P27" s="27"/>
      <c r="Q27" s="27"/>
      <c r="R27" s="27"/>
      <c r="S27" s="27"/>
    </row>
    <row r="28" spans="2:19" ht="14.25">
      <c r="B28" s="15"/>
      <c r="C28" s="12"/>
      <c r="E28" s="9"/>
      <c r="F28" s="20"/>
      <c r="G28" s="20"/>
      <c r="H28" s="20"/>
      <c r="I28" s="9" t="str">
        <f>$C$7</f>
        <v>White</v>
      </c>
      <c r="J28" s="27"/>
      <c r="K28" s="21">
        <f>IF(I9=2,F9,IF(I10=2,F10,IF(I11=2,F11,IF(I12=2,F12,""))))</f>
        <v>4</v>
      </c>
      <c r="L28" s="18" t="str">
        <f>IF(I17=2,G17,IF(I18=2,G18,IF(I19=2,G19,IF(I20=2,G20,2.2))))</f>
        <v>Ari D'Anvers (whngrei)</v>
      </c>
      <c r="M28" s="17">
        <v>12.74</v>
      </c>
      <c r="N28" s="17">
        <f>IF(ISNA(RANK(M28,$M$27:$M$30,0)),0,RANK(M28,$M$27:$M$30,0))</f>
        <v>1</v>
      </c>
      <c r="O28" s="27"/>
      <c r="P28" s="27"/>
      <c r="Q28" s="27"/>
      <c r="R28" s="27"/>
      <c r="S28" s="27"/>
    </row>
    <row r="29" spans="2:19" ht="14.25">
      <c r="B29" s="15"/>
      <c r="C29" s="12"/>
      <c r="E29" s="9"/>
      <c r="F29" s="20"/>
      <c r="G29" s="20"/>
      <c r="H29" s="20"/>
      <c r="I29" s="9" t="str">
        <f>$C$8</f>
        <v>Green</v>
      </c>
      <c r="J29" s="27"/>
      <c r="K29" s="105">
        <f>IF(I23=1,F23,IF(I24=1,F24,IF(I25=1,F25,IF(I26=1,F26,""))))</f>
        <v>2</v>
      </c>
      <c r="L29" s="18" t="str">
        <f>IF(I23=1,G23,IF(I24=1,G24,IF(I25=1,G25,IF(I26=1,G26,1.3))))</f>
        <v>Jack Hinton (Mnt)</v>
      </c>
      <c r="M29" s="17">
        <v>10.1</v>
      </c>
      <c r="N29" s="17">
        <f>IF(ISNA(RANK(M29,$M$27:$M$30,0)),0,RANK(M29,$M$27:$M$30,0))</f>
        <v>4</v>
      </c>
      <c r="O29" s="27"/>
      <c r="P29" s="27"/>
      <c r="Q29" s="27"/>
      <c r="R29" s="27"/>
      <c r="S29" s="27"/>
    </row>
    <row r="30" spans="2:19" ht="15">
      <c r="B30" s="15"/>
      <c r="C30" s="12"/>
      <c r="E30" s="9"/>
      <c r="G30" s="6" t="s">
        <v>15</v>
      </c>
      <c r="H30" s="27"/>
      <c r="I30" s="9" t="str">
        <f>$C$9</f>
        <v>Blue</v>
      </c>
      <c r="J30" s="27"/>
      <c r="K30" s="106">
        <f>IF(I31=1,F31,IF(I32=1,F32,IF(I33=1,F33,IF(I34=1,F34,""))))</f>
        <v>3</v>
      </c>
      <c r="L30" s="18" t="str">
        <f>IF(I31=1,G31,IF(I32=1,G32,IF(I33=1,G33,IF(I34=1,G34,1.4))))</f>
        <v>Tom Robinson (Whngrei)</v>
      </c>
      <c r="M30" s="17">
        <v>10.4</v>
      </c>
      <c r="N30" s="17">
        <f>IF(ISNA(RANK(M30,$M$27:$M$30,0)),0,RANK(M30,$M$27:$M$30,0))</f>
        <v>3</v>
      </c>
      <c r="O30" s="27"/>
      <c r="P30" s="27"/>
      <c r="Q30" s="27"/>
      <c r="R30" s="27"/>
      <c r="S30" s="27"/>
    </row>
    <row r="31" spans="2:19" ht="14.25">
      <c r="B31" s="15"/>
      <c r="C31" s="12"/>
      <c r="E31" s="9" t="str">
        <f>$C$6</f>
        <v>Red</v>
      </c>
      <c r="F31" s="104">
        <f>$C$13</f>
        <v>3</v>
      </c>
      <c r="G31" s="17" t="str">
        <f>$B$13</f>
        <v>Tom Robinson (Whngrei)</v>
      </c>
      <c r="H31" s="17">
        <v>10.23</v>
      </c>
      <c r="I31" s="17">
        <f>IF(ISNA(RANK(H31,$H$31:$H$34,0)),0,RANK(H31,$H$31:$H$34,0))</f>
        <v>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19" ht="14.25">
      <c r="B32" s="15"/>
      <c r="C32" s="12"/>
      <c r="E32" s="9" t="str">
        <f>$C$7</f>
        <v>White</v>
      </c>
      <c r="F32" s="21">
        <f>$C$16</f>
        <v>6</v>
      </c>
      <c r="G32" s="17" t="str">
        <f>$B$16</f>
        <v>Isaac Klein - Ovink (Mnt)</v>
      </c>
      <c r="H32" s="17">
        <v>7.6</v>
      </c>
      <c r="I32" s="17">
        <f>IF(ISNA(RANK(H32,$H$31:$H$34,0)),0,RANK(H32,$H$31:$H$34,0))</f>
        <v>3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2:19" ht="14.25">
      <c r="B33" s="15"/>
      <c r="C33" s="12"/>
      <c r="E33" s="9" t="str">
        <f>$C$8</f>
        <v>Green</v>
      </c>
      <c r="F33" s="105">
        <f>$C$21</f>
        <v>11</v>
      </c>
      <c r="G33" s="17" t="str">
        <f>$B$21</f>
        <v>Max de Groot (HBay)</v>
      </c>
      <c r="H33" s="17">
        <v>9.83</v>
      </c>
      <c r="I33" s="17">
        <f>IF(ISNA(RANK(H33,$H$31:$H$34,0)),0,RANK(H33,$H$31:$H$34,0))</f>
        <v>2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5:19" ht="14.25">
      <c r="E34" s="9" t="str">
        <f>$C$9</f>
        <v>Blue</v>
      </c>
      <c r="F34" s="106">
        <f>$C$24</f>
        <v>14</v>
      </c>
      <c r="G34" s="17">
        <f>$B$24</f>
        <v>0</v>
      </c>
      <c r="H34" s="17"/>
      <c r="I34" s="17">
        <f>IF(ISNA(RANK(H34,$H$31:$H$34,0)),0,RANK(H34,$H$31:$H$34,0))</f>
        <v>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34"/>
  <sheetViews>
    <sheetView showGridLines="0" view="pageBreakPreview" zoomScale="80" zoomScaleNormal="75" zoomScaleSheetLayoutView="80" zoomScalePageLayoutView="0" workbookViewId="0" topLeftCell="B7">
      <selection activeCell="R20" sqref="R20"/>
    </sheetView>
  </sheetViews>
  <sheetFormatPr defaultColWidth="11.875" defaultRowHeight="12.75"/>
  <cols>
    <col min="1" max="1" width="2.75390625" style="1" customWidth="1"/>
    <col min="2" max="2" width="42.25390625" style="1" customWidth="1"/>
    <col min="3" max="3" width="5.625" style="1" bestFit="1" customWidth="1"/>
    <col min="4" max="4" width="3.25390625" style="1" customWidth="1"/>
    <col min="5" max="5" width="5.375" style="1" bestFit="1" customWidth="1"/>
    <col min="6" max="6" width="5.625" style="1" customWidth="1"/>
    <col min="7" max="7" width="24.375" style="1" customWidth="1"/>
    <col min="8" max="8" width="6.25390625" style="1" customWidth="1"/>
    <col min="9" max="9" width="4.375" style="1" customWidth="1"/>
    <col min="10" max="10" width="2.75390625" style="1" customWidth="1"/>
    <col min="11" max="11" width="5.625" style="1" customWidth="1"/>
    <col min="12" max="12" width="24.375" style="1" customWidth="1"/>
    <col min="13" max="13" width="7.125" style="1" customWidth="1"/>
    <col min="14" max="14" width="5.625" style="1" customWidth="1"/>
    <col min="15" max="15" width="2.75390625" style="1" customWidth="1"/>
    <col min="16" max="16" width="7.00390625" style="1" customWidth="1"/>
    <col min="17" max="17" width="24.375" style="1" customWidth="1"/>
    <col min="18" max="18" width="6.00390625" style="1" customWidth="1"/>
    <col min="19" max="19" width="6.25390625" style="1" bestFit="1" customWidth="1"/>
    <col min="20" max="16384" width="11.875" style="1" customWidth="1"/>
  </cols>
  <sheetData>
    <row r="1" spans="2:10" ht="15.75">
      <c r="B1" s="22" t="s">
        <v>82</v>
      </c>
      <c r="F1" s="2" t="s">
        <v>0</v>
      </c>
      <c r="J1" s="3"/>
    </row>
    <row r="2" spans="1:10" ht="12.75">
      <c r="A2" s="3"/>
      <c r="B2" s="22" t="s">
        <v>71</v>
      </c>
      <c r="C2" s="39"/>
      <c r="D2" s="3"/>
      <c r="E2" s="11"/>
      <c r="J2" s="3"/>
    </row>
    <row r="3" spans="1:18" ht="15.75">
      <c r="A3" s="3"/>
      <c r="B3" s="22" t="s">
        <v>72</v>
      </c>
      <c r="C3" s="4"/>
      <c r="D3" s="3"/>
      <c r="F3" s="2" t="str">
        <f>B1</f>
        <v>NZ Grom Series - Super 16 Final - pres by Skinnies and Volkswagen</v>
      </c>
      <c r="G3" s="5"/>
      <c r="R3" s="7">
        <f>IF(E2=1,5000,IF(E2=2,10000,IF(E2=3,15000,IF(E2=4,20000,IF(E2=5,25000,IF(E2=6,30000,""))))))</f>
      </c>
    </row>
    <row r="4" spans="2:10" ht="15.75">
      <c r="B4" s="22" t="s">
        <v>73</v>
      </c>
      <c r="C4" s="3"/>
      <c r="D4" s="3"/>
      <c r="F4" s="2" t="str">
        <f>B3</f>
        <v>SNZ Sanctioned</v>
      </c>
      <c r="H4" s="23" t="str">
        <f>B2</f>
        <v>Piha Beach, Auckland</v>
      </c>
      <c r="J4" s="3"/>
    </row>
    <row r="5" spans="1:13" ht="15.75">
      <c r="A5" s="59"/>
      <c r="B5" s="22" t="s">
        <v>79</v>
      </c>
      <c r="C5" s="60"/>
      <c r="F5" s="2" t="str">
        <f>$B$4</f>
        <v>15th May 2021</v>
      </c>
      <c r="I5" s="9" t="s">
        <v>28</v>
      </c>
      <c r="J5" s="3"/>
      <c r="K5" s="10">
        <f>IF($C$2=4,750,IF($C$2=5,1000,IF($C$2=6,1250,"")))</f>
      </c>
      <c r="L5" s="11" t="s">
        <v>68</v>
      </c>
      <c r="M5" s="13"/>
    </row>
    <row r="6" spans="1:13" ht="15">
      <c r="A6" s="60"/>
      <c r="B6" s="57" t="s">
        <v>2</v>
      </c>
      <c r="C6" s="60" t="s">
        <v>3</v>
      </c>
      <c r="G6" s="5" t="str">
        <f>B5</f>
        <v>Under 16 Boys Division</v>
      </c>
      <c r="I6" s="9" t="s">
        <v>29</v>
      </c>
      <c r="K6" s="10">
        <f>IF($C$2=4,675,IF($C$2=5,900,IF($C$2=6,1125,"")))</f>
      </c>
      <c r="L6" s="11" t="s">
        <v>68</v>
      </c>
      <c r="M6" s="13"/>
    </row>
    <row r="7" spans="1:9" ht="15">
      <c r="A7" s="60"/>
      <c r="B7" s="57" t="s">
        <v>4</v>
      </c>
      <c r="C7" s="60" t="s">
        <v>5</v>
      </c>
      <c r="G7" s="6" t="s">
        <v>46</v>
      </c>
      <c r="H7" s="1" t="s">
        <v>23</v>
      </c>
      <c r="I7" s="1" t="s">
        <v>24</v>
      </c>
    </row>
    <row r="8" spans="1:7" ht="15">
      <c r="A8" s="60" t="s">
        <v>6</v>
      </c>
      <c r="B8" s="57" t="s">
        <v>7</v>
      </c>
      <c r="C8" s="60" t="s">
        <v>27</v>
      </c>
      <c r="G8" s="6" t="s">
        <v>8</v>
      </c>
    </row>
    <row r="9" spans="1:19" ht="15">
      <c r="A9" s="60" t="s">
        <v>11</v>
      </c>
      <c r="B9" s="57" t="s">
        <v>12</v>
      </c>
      <c r="C9" s="60" t="s">
        <v>22</v>
      </c>
      <c r="E9" s="9" t="str">
        <f>$C$6</f>
        <v>Red</v>
      </c>
      <c r="F9" s="104">
        <f>$C$14</f>
        <v>4</v>
      </c>
      <c r="G9" s="17" t="str">
        <f>$B$14</f>
        <v>Kalani Louis (Tara)</v>
      </c>
      <c r="H9" s="17">
        <v>10.76</v>
      </c>
      <c r="I9" s="17">
        <f>IF(ISNA(RANK(H9,$H$9:$H$12,0)),0,RANK(H9,$H$9:$H$12,0))</f>
        <v>2</v>
      </c>
      <c r="J9" s="20"/>
      <c r="K9" s="27"/>
      <c r="L9" s="19" t="str">
        <f>B5</f>
        <v>Under 16 Boys Division</v>
      </c>
      <c r="M9" s="6" t="s">
        <v>69</v>
      </c>
      <c r="P9" s="27"/>
      <c r="Q9" s="27"/>
      <c r="R9" s="27"/>
      <c r="S9" s="27"/>
    </row>
    <row r="10" spans="1:19" ht="14.25">
      <c r="A10" s="60" t="s">
        <v>13</v>
      </c>
      <c r="B10" s="57" t="s">
        <v>14</v>
      </c>
      <c r="C10" s="59"/>
      <c r="E10" s="9" t="str">
        <f>$C$7</f>
        <v>White</v>
      </c>
      <c r="F10" s="21">
        <f>$C$15</f>
        <v>5</v>
      </c>
      <c r="G10" s="17" t="str">
        <f>$B$15</f>
        <v>Bill Byers (Piha)</v>
      </c>
      <c r="H10" s="17">
        <v>8.63</v>
      </c>
      <c r="I10" s="17">
        <f>IF(ISNA(RANK(H10,$H$9:$H$12,0)),0,RANK(H10,$H$9:$H$12,0))</f>
        <v>3</v>
      </c>
      <c r="J10" s="20"/>
      <c r="K10" s="28"/>
      <c r="L10" s="9" t="s">
        <v>16</v>
      </c>
      <c r="M10" s="10">
        <f>IF($C$2=1,153,IF($C$2=2,305,IF($C$2=3,610,IF($C$2=4,915,IF($C$2=5,1220,IF($C$2=6,1525,""))))))</f>
      </c>
      <c r="N10" s="13"/>
      <c r="P10" s="27"/>
      <c r="Q10" s="27"/>
      <c r="R10" s="27"/>
      <c r="S10" s="27"/>
    </row>
    <row r="11" spans="1:19" ht="14.25">
      <c r="A11" s="59">
        <v>1</v>
      </c>
      <c r="B11" s="111" t="s">
        <v>97</v>
      </c>
      <c r="C11" s="58">
        <v>1</v>
      </c>
      <c r="E11" s="9" t="str">
        <f>$C$8</f>
        <v>Green</v>
      </c>
      <c r="F11" s="105">
        <f>$C$22</f>
        <v>12</v>
      </c>
      <c r="G11" s="17" t="str">
        <f>$B$22</f>
        <v>Mathias Thompson (Piha)</v>
      </c>
      <c r="H11" s="17">
        <v>4.33</v>
      </c>
      <c r="I11" s="17">
        <f>IF(ISNA(RANK(H11,$H$9:$H$12,0)),0,RANK(H11,$H$9:$H$12,0))</f>
        <v>4</v>
      </c>
      <c r="J11" s="20"/>
      <c r="K11" s="28"/>
      <c r="L11" s="9" t="s">
        <v>17</v>
      </c>
      <c r="M11" s="10">
        <f>IF($C$2=1,139,IF($C$2=2,278,IF($C$2=3,555,IF($C$2=4,833,IF($C$2=5,1110,IF($C$2=6,1388,""))))))</f>
      </c>
      <c r="N11" s="13"/>
      <c r="P11" s="27"/>
      <c r="Q11" s="27"/>
      <c r="R11" s="27"/>
      <c r="S11" s="27"/>
    </row>
    <row r="12" spans="1:19" ht="15">
      <c r="A12" s="59">
        <v>2</v>
      </c>
      <c r="B12" s="111" t="s">
        <v>98</v>
      </c>
      <c r="C12" s="58">
        <v>2</v>
      </c>
      <c r="E12" s="9" t="str">
        <f>$C$9</f>
        <v>Blue</v>
      </c>
      <c r="F12" s="106">
        <f>$C$23</f>
        <v>13</v>
      </c>
      <c r="G12" s="17" t="str">
        <f>$B$23</f>
        <v>Jake Owen (Dun)</v>
      </c>
      <c r="H12" s="17">
        <v>11.07</v>
      </c>
      <c r="I12" s="17">
        <f>IF(ISNA(RANK(H12,$H$9:$H$12,0)),0,RANK(H12,$H$9:$H$12,0))</f>
        <v>1</v>
      </c>
      <c r="J12" s="27"/>
      <c r="L12" s="6" t="s">
        <v>8</v>
      </c>
      <c r="M12" s="1" t="s">
        <v>23</v>
      </c>
      <c r="N12" s="1" t="s">
        <v>24</v>
      </c>
      <c r="O12" s="20"/>
      <c r="P12" s="27"/>
      <c r="Q12" s="27"/>
      <c r="R12" s="27"/>
      <c r="S12" s="27"/>
    </row>
    <row r="13" spans="1:19" ht="14.25">
      <c r="A13" s="59">
        <v>3</v>
      </c>
      <c r="B13" s="111" t="s">
        <v>99</v>
      </c>
      <c r="C13" s="58">
        <v>3</v>
      </c>
      <c r="E13" s="9"/>
      <c r="F13" s="20"/>
      <c r="G13" s="20"/>
      <c r="H13" s="20"/>
      <c r="I13" s="9" t="str">
        <f>$C$6</f>
        <v>Red</v>
      </c>
      <c r="J13" s="27"/>
      <c r="K13" s="104">
        <f>IF(I9=1,F9,IF(I10=1,F10,IF(I11=1,F11,IF(I12=1,F12,""))))</f>
        <v>13</v>
      </c>
      <c r="L13" s="18" t="str">
        <f>IF(I9=1,G9,IF(I10=1,G10,IF(I11=1,G11,IF(I12=1,G12,1.1))))</f>
        <v>Jake Owen (Dun)</v>
      </c>
      <c r="M13" s="17">
        <v>9.46</v>
      </c>
      <c r="N13" s="17">
        <f>IF(ISNA(RANK(M13,$M$13:$M$16,0)),0,RANK(M13,$M$13:$M$16,0))</f>
        <v>2</v>
      </c>
      <c r="O13" s="20"/>
      <c r="P13" s="27"/>
      <c r="Q13" s="27"/>
      <c r="R13" s="27"/>
      <c r="S13" s="27"/>
    </row>
    <row r="14" spans="1:19" ht="15">
      <c r="A14" s="59">
        <v>4</v>
      </c>
      <c r="B14" s="111" t="s">
        <v>100</v>
      </c>
      <c r="C14" s="58">
        <v>4</v>
      </c>
      <c r="E14" s="9"/>
      <c r="F14" s="20"/>
      <c r="G14" s="20"/>
      <c r="H14" s="20"/>
      <c r="I14" s="9" t="str">
        <f>$C$7</f>
        <v>White</v>
      </c>
      <c r="J14" s="27"/>
      <c r="K14" s="21">
        <f>IF(I17=1,F17,IF(I18=1,F18,IF(I19=1,F19,IF(I20=1,F20,""))))</f>
        <v>1</v>
      </c>
      <c r="L14" s="18" t="str">
        <f>IF(I17=1,G17,IF(I18=1,G18,IF(I19=1,G19,IF(I20=1,G20,1.2))))</f>
        <v>Tao Mouldey (Mnt)</v>
      </c>
      <c r="M14" s="17">
        <v>12.16</v>
      </c>
      <c r="N14" s="17">
        <f>IF(ISNA(RANK(M14,$M$13:$M$16,0)),0,RANK(M14,$M$13:$M$16,0))</f>
        <v>1</v>
      </c>
      <c r="O14" s="20"/>
      <c r="P14" s="27"/>
      <c r="Q14" s="8" t="str">
        <f>B5</f>
        <v>Under 16 Boys Division</v>
      </c>
      <c r="R14" s="8" t="s">
        <v>70</v>
      </c>
      <c r="S14" s="27"/>
    </row>
    <row r="15" spans="1:19" ht="14.25">
      <c r="A15" s="59">
        <v>5</v>
      </c>
      <c r="B15" s="111" t="s">
        <v>101</v>
      </c>
      <c r="C15" s="58">
        <v>5</v>
      </c>
      <c r="E15" s="9"/>
      <c r="F15" s="20"/>
      <c r="G15" s="20"/>
      <c r="H15" s="20"/>
      <c r="I15" s="9" t="str">
        <f>$C$8</f>
        <v>Green</v>
      </c>
      <c r="J15" s="27"/>
      <c r="K15" s="105">
        <f>IF(I23=2,F23,IF(I24=2,F24,IF(I25=2,F25,IF(I26=2,F26,""))))</f>
        <v>7</v>
      </c>
      <c r="L15" s="18" t="str">
        <f>IF(I23=2,G23,IF(I24=2,G24,IF(I25=2,G25,IF(I26=2,G26,2.3))))</f>
        <v>Rakiatea Tau (Chch)</v>
      </c>
      <c r="M15" s="17">
        <v>8.57</v>
      </c>
      <c r="N15" s="17">
        <f>IF(ISNA(RANK(M15,$M$13:$M$16,0)),0,RANK(M15,$M$13:$M$16,0))</f>
        <v>4</v>
      </c>
      <c r="O15" s="20"/>
      <c r="P15" s="3"/>
      <c r="Q15" s="14" t="s">
        <v>18</v>
      </c>
      <c r="R15" s="25">
        <f>IF($C$2=4,1500,IF($C$2=5,2000,IF($C$2=6,2500,"")))</f>
      </c>
      <c r="S15" s="51"/>
    </row>
    <row r="16" spans="1:19" ht="15">
      <c r="A16" s="59">
        <v>6</v>
      </c>
      <c r="B16" s="111" t="s">
        <v>102</v>
      </c>
      <c r="C16" s="58">
        <v>6</v>
      </c>
      <c r="E16" s="9"/>
      <c r="G16" s="6" t="s">
        <v>9</v>
      </c>
      <c r="H16" s="27"/>
      <c r="I16" s="9" t="str">
        <f>$C$9</f>
        <v>Blue</v>
      </c>
      <c r="J16" s="27"/>
      <c r="K16" s="106">
        <f>IF(I31=2,F31,IF(I32=2,F32,IF(I33=2,F33,IF(I34=2,F34,""))))</f>
        <v>11</v>
      </c>
      <c r="L16" s="18" t="str">
        <f>IF(I31=2,G31,IF(I32=2,G32,IF(I33=2,G33,IF(I34=2,G34,2.4))))</f>
        <v>Will Hardie (Piha)</v>
      </c>
      <c r="M16" s="17">
        <v>9.2</v>
      </c>
      <c r="N16" s="17">
        <f>IF(ISNA(RANK(M16,$M$13:$M$16,0)),0,RANK(M16,$M$13:$M$16,0))</f>
        <v>3</v>
      </c>
      <c r="O16" s="27"/>
      <c r="P16" s="3"/>
      <c r="Q16" s="14" t="s">
        <v>19</v>
      </c>
      <c r="R16" s="25">
        <f>IF($C$2=4,1290,IF($C$2=5,1720,IF($C$2=6,2150,"")))</f>
      </c>
      <c r="S16" s="51"/>
    </row>
    <row r="17" spans="1:19" ht="14.25">
      <c r="A17" s="59">
        <v>7</v>
      </c>
      <c r="B17" s="112" t="s">
        <v>103</v>
      </c>
      <c r="C17" s="58">
        <v>7</v>
      </c>
      <c r="E17" s="9" t="str">
        <f>$C$6</f>
        <v>Red</v>
      </c>
      <c r="F17" s="104">
        <f>$C$11</f>
        <v>1</v>
      </c>
      <c r="G17" s="17" t="str">
        <f>$B$11</f>
        <v>Tao Mouldey (Mnt)</v>
      </c>
      <c r="H17" s="17">
        <v>13.86</v>
      </c>
      <c r="I17" s="17">
        <f>IF(ISNA(RANK(H17,$H$17:$H$20,0)),0,RANK(H17,$H$17:$H$20,0))</f>
        <v>1</v>
      </c>
      <c r="J17" s="20"/>
      <c r="K17" s="27"/>
      <c r="L17" s="27"/>
      <c r="M17" s="27"/>
      <c r="N17" s="27"/>
      <c r="O17" s="27"/>
      <c r="P17" s="3"/>
      <c r="Q17" s="14" t="s">
        <v>20</v>
      </c>
      <c r="R17" s="25">
        <f>IF($C$2=4,1095,IF($C$2=5,1460,IF($C$2=6,1825,"")))</f>
      </c>
      <c r="S17" s="51"/>
    </row>
    <row r="18" spans="1:19" ht="14.25">
      <c r="A18" s="59">
        <v>8</v>
      </c>
      <c r="B18" s="113" t="s">
        <v>104</v>
      </c>
      <c r="C18" s="58">
        <v>8</v>
      </c>
      <c r="E18" s="9" t="str">
        <f>$C$7</f>
        <v>White</v>
      </c>
      <c r="F18" s="21">
        <f>$C$18</f>
        <v>8</v>
      </c>
      <c r="G18" s="17" t="str">
        <f>$B$18</f>
        <v>Izak Hayes (Whngrei)</v>
      </c>
      <c r="H18" s="17">
        <v>6.67</v>
      </c>
      <c r="I18" s="17">
        <f>IF(ISNA(RANK(H18,$H$17:$H$20,0)),0,RANK(H18,$H$17:$H$20,0))</f>
        <v>4</v>
      </c>
      <c r="J18" s="20"/>
      <c r="K18" s="27"/>
      <c r="L18" s="27"/>
      <c r="M18" s="27"/>
      <c r="N18" s="27"/>
      <c r="O18" s="27"/>
      <c r="P18" s="3"/>
      <c r="Q18" s="14" t="s">
        <v>21</v>
      </c>
      <c r="R18" s="25">
        <f>IF($C$2=4,1005,IF($C$2=5,1340,IF($C$2=6,1675,"")))</f>
      </c>
      <c r="S18" s="51"/>
    </row>
    <row r="19" spans="1:19" ht="14.25">
      <c r="A19" s="59">
        <v>9</v>
      </c>
      <c r="B19" s="113" t="s">
        <v>105</v>
      </c>
      <c r="C19" s="58">
        <v>9</v>
      </c>
      <c r="E19" s="9" t="str">
        <f>$C$8</f>
        <v>Green</v>
      </c>
      <c r="F19" s="105">
        <f>$C$19</f>
        <v>9</v>
      </c>
      <c r="G19" s="17" t="str">
        <f>$B$19</f>
        <v>Tai Murphy (Whaka)</v>
      </c>
      <c r="H19" s="17">
        <v>10.4</v>
      </c>
      <c r="I19" s="17">
        <f>IF(ISNA(RANK(H19,$H$17:$H$20,0)),0,RANK(H19,$H$17:$H$20,0))</f>
        <v>2</v>
      </c>
      <c r="J19" s="20"/>
      <c r="K19" s="27"/>
      <c r="L19" s="27"/>
      <c r="M19" s="27"/>
      <c r="N19" s="27"/>
      <c r="O19" s="27"/>
      <c r="R19" s="1" t="s">
        <v>23</v>
      </c>
      <c r="S19" s="1" t="s">
        <v>24</v>
      </c>
    </row>
    <row r="20" spans="1:19" ht="14.25">
      <c r="A20" s="59">
        <v>10</v>
      </c>
      <c r="B20" s="112" t="s">
        <v>106</v>
      </c>
      <c r="C20" s="58">
        <v>10</v>
      </c>
      <c r="E20" s="9" t="str">
        <f>$C$9</f>
        <v>Blue</v>
      </c>
      <c r="F20" s="106">
        <f>$C$26</f>
        <v>16</v>
      </c>
      <c r="G20" s="17" t="str">
        <f>$B$26</f>
        <v>Karne Gabbott (Dun)</v>
      </c>
      <c r="H20" s="17">
        <v>8.97</v>
      </c>
      <c r="I20" s="17">
        <f>IF(ISNA(RANK(H20,$H$17:$H$20,0)),0,RANK(H20,$H$17:$H$20,0))</f>
        <v>3</v>
      </c>
      <c r="J20" s="27"/>
      <c r="K20" s="27"/>
      <c r="L20" s="27"/>
      <c r="M20" s="27"/>
      <c r="N20" s="9" t="str">
        <f>$C$6</f>
        <v>Red</v>
      </c>
      <c r="O20" s="27"/>
      <c r="P20" s="104">
        <f>IF(N13=1,K13,IF(N14=1,K14,IF(N15=1,K15,IF(N16=1,K16,""))))</f>
        <v>1</v>
      </c>
      <c r="Q20" s="18" t="str">
        <f>IF(N13=1,L13,IF(N14=1,L14,IF(N15=1,L15,IF(N16=1,L16,1.1))))</f>
        <v>Tao Mouldey (Mnt)</v>
      </c>
      <c r="R20" s="17">
        <v>15.5</v>
      </c>
      <c r="S20" s="17">
        <f>IF(ISNA(RANK(R20,$R$20:$R$23,0)),0,RANK(R20,$R$20:$R$23,0))</f>
        <v>1</v>
      </c>
    </row>
    <row r="21" spans="1:19" ht="14.25">
      <c r="A21" s="59">
        <v>11</v>
      </c>
      <c r="B21" s="111" t="s">
        <v>107</v>
      </c>
      <c r="C21" s="58">
        <v>11</v>
      </c>
      <c r="E21" s="9"/>
      <c r="F21" s="20"/>
      <c r="G21" s="20"/>
      <c r="H21" s="20"/>
      <c r="I21" s="20"/>
      <c r="J21" s="20"/>
      <c r="K21" s="27"/>
      <c r="L21" s="27"/>
      <c r="M21" s="27"/>
      <c r="N21" s="9" t="str">
        <f>$C$7</f>
        <v>White</v>
      </c>
      <c r="O21" s="27"/>
      <c r="P21" s="21">
        <f>IF(N13=2,K13,IF(N14=2,K14,IF(N15=2,K15,IF(N16=2,K16,""))))</f>
        <v>13</v>
      </c>
      <c r="Q21" s="18" t="str">
        <f>IF(N13=2,L13,IF(N14=2,L14,IF(N15=2,L15,IF(N16=2,L16,2.1))))</f>
        <v>Jake Owen (Dun)</v>
      </c>
      <c r="R21" s="17">
        <v>12.4</v>
      </c>
      <c r="S21" s="17">
        <f>IF(ISNA(RANK(R21,$R$20:$R$23,0)),0,RANK(R21,$R$20:$R$23,0))</f>
        <v>2</v>
      </c>
    </row>
    <row r="22" spans="1:19" ht="15">
      <c r="A22" s="59">
        <v>12</v>
      </c>
      <c r="B22" s="111" t="s">
        <v>108</v>
      </c>
      <c r="C22" s="58">
        <v>12</v>
      </c>
      <c r="E22" s="9"/>
      <c r="G22" s="6" t="s">
        <v>10</v>
      </c>
      <c r="I22" s="1" t="s">
        <v>24</v>
      </c>
      <c r="J22" s="20"/>
      <c r="K22" s="27"/>
      <c r="L22" s="27"/>
      <c r="M22" s="27"/>
      <c r="N22" s="9" t="str">
        <f>$C$8</f>
        <v>Green</v>
      </c>
      <c r="O22" s="27"/>
      <c r="P22" s="105">
        <f>IF(N27=1,K27,IF(N28=1,K28,IF(N29=1,K29,IF(N30=1,K30,""))))</f>
        <v>3</v>
      </c>
      <c r="Q22" s="18" t="str">
        <f>IF(N27=1,L27,IF(N28=1,L28,IF(N29=1,L29,IF(N30=1,L30,1.2))))</f>
        <v>Beau woods (mnt)</v>
      </c>
      <c r="R22" s="17">
        <v>11.3</v>
      </c>
      <c r="S22" s="17">
        <f>IF(ISNA(RANK(R22,$R$20:$R$23,0)),0,RANK(R22,$R$20:$R$23,0))</f>
        <v>4</v>
      </c>
    </row>
    <row r="23" spans="1:19" ht="14.25">
      <c r="A23" s="59">
        <v>13</v>
      </c>
      <c r="B23" s="112" t="s">
        <v>109</v>
      </c>
      <c r="C23" s="58">
        <v>13</v>
      </c>
      <c r="E23" s="9" t="str">
        <f>$C$6</f>
        <v>Red</v>
      </c>
      <c r="F23" s="104">
        <f>$C$12</f>
        <v>2</v>
      </c>
      <c r="G23" s="17" t="str">
        <f>$B$12</f>
        <v>Jack Tyro (Chch)</v>
      </c>
      <c r="H23" s="17">
        <v>8.24</v>
      </c>
      <c r="I23" s="17">
        <f>IF(ISNA(RANK(H23,$H$23:$H$26,0)),0,RANK(H23,$H$23:$H$26,0))</f>
        <v>3</v>
      </c>
      <c r="J23" s="20"/>
      <c r="K23" s="27"/>
      <c r="L23" s="27"/>
      <c r="M23" s="27"/>
      <c r="N23" s="9" t="str">
        <f>$C$9</f>
        <v>Blue</v>
      </c>
      <c r="O23" s="27"/>
      <c r="P23" s="106">
        <f>IF(N27=2,K27,IF(N28=2,K28,IF(N29=2,K29,IF(N30=2,K30,""))))</f>
        <v>9</v>
      </c>
      <c r="Q23" s="18" t="str">
        <f>IF(N27=2,L27,IF(N28=2,L28,IF(N29=2,L29,IF(N30=2,L30,2.2))))</f>
        <v>Kalani Louis (Tara)</v>
      </c>
      <c r="R23" s="17">
        <v>11.67</v>
      </c>
      <c r="S23" s="17">
        <f>IF(ISNA(RANK(R23,$R$20:$R$23,0)),0,RANK(R23,$R$20:$R$23,0))</f>
        <v>3</v>
      </c>
    </row>
    <row r="24" spans="1:19" ht="14.25">
      <c r="A24" s="59">
        <v>14</v>
      </c>
      <c r="B24" s="111" t="s">
        <v>110</v>
      </c>
      <c r="C24" s="58">
        <v>14</v>
      </c>
      <c r="E24" s="9" t="str">
        <f>$C$7</f>
        <v>White</v>
      </c>
      <c r="F24" s="21">
        <f>$C$17</f>
        <v>7</v>
      </c>
      <c r="G24" s="17" t="str">
        <f>$B$17</f>
        <v>Rakiatea Tau (Chch)</v>
      </c>
      <c r="H24" s="17">
        <v>8.53</v>
      </c>
      <c r="I24" s="17">
        <f>IF(ISNA(RANK(H24,$H$23:$H$26,0)),0,RANK(H24,$H$23:$H$26,0))</f>
        <v>2</v>
      </c>
      <c r="J24" s="27"/>
      <c r="K24" s="27"/>
      <c r="L24" s="27"/>
      <c r="M24" s="27"/>
      <c r="N24" s="27"/>
      <c r="O24" s="20"/>
      <c r="P24" s="27"/>
      <c r="Q24" s="27"/>
      <c r="R24" s="27"/>
      <c r="S24" s="27"/>
    </row>
    <row r="25" spans="1:19" ht="14.25">
      <c r="A25" s="59">
        <v>15</v>
      </c>
      <c r="B25" s="111" t="s">
        <v>111</v>
      </c>
      <c r="C25" s="58">
        <v>15</v>
      </c>
      <c r="E25" s="9" t="str">
        <f>$C$8</f>
        <v>Green</v>
      </c>
      <c r="F25" s="105">
        <f>$C$20</f>
        <v>10</v>
      </c>
      <c r="G25" s="17" t="str">
        <f>$B$20</f>
        <v>Tai Erceg - Gray (Whngrei)</v>
      </c>
      <c r="H25" s="17">
        <v>9.96</v>
      </c>
      <c r="I25" s="17">
        <f>IF(ISNA(RANK(H25,$H$23:$H$26,0)),0,RANK(H25,$H$23:$H$26,0))</f>
        <v>1</v>
      </c>
      <c r="J25" s="27"/>
      <c r="K25" s="27"/>
      <c r="M25" s="27"/>
      <c r="N25" s="27"/>
      <c r="O25" s="20"/>
      <c r="P25" s="27"/>
      <c r="Q25" s="27"/>
      <c r="R25" s="27"/>
      <c r="S25" s="27"/>
    </row>
    <row r="26" spans="1:19" ht="15">
      <c r="A26" s="59">
        <v>16</v>
      </c>
      <c r="B26" s="112" t="s">
        <v>112</v>
      </c>
      <c r="C26" s="58">
        <v>16</v>
      </c>
      <c r="E26" s="9" t="str">
        <f>$C$9</f>
        <v>Blue</v>
      </c>
      <c r="F26" s="106">
        <f>$C$25</f>
        <v>15</v>
      </c>
      <c r="G26" s="17" t="str">
        <f>$B$25</f>
        <v>Ben Fougere (Piha)</v>
      </c>
      <c r="H26" s="17">
        <v>5.97</v>
      </c>
      <c r="I26" s="17">
        <f>IF(ISNA(RANK(H26,$H$23:$H$26,0)),0,RANK(H26,$H$23:$H$26,0))</f>
        <v>4</v>
      </c>
      <c r="J26" s="27"/>
      <c r="L26" s="6" t="s">
        <v>9</v>
      </c>
      <c r="M26" s="27"/>
      <c r="N26" s="27"/>
      <c r="O26" s="20"/>
      <c r="P26" s="27"/>
      <c r="Q26" s="27"/>
      <c r="R26" s="27"/>
      <c r="S26" s="27"/>
    </row>
    <row r="27" spans="2:19" ht="14.25">
      <c r="B27" s="15"/>
      <c r="C27" s="12"/>
      <c r="E27" s="9"/>
      <c r="F27" s="20"/>
      <c r="G27" s="20"/>
      <c r="H27" s="20"/>
      <c r="I27" s="9" t="str">
        <f>$C$6</f>
        <v>Red</v>
      </c>
      <c r="J27" s="27"/>
      <c r="K27" s="104">
        <f>IF(I17=2,F17,IF(I18=2,F18,IF(I19=2,F19,IF(I20=2,F20,""))))</f>
        <v>9</v>
      </c>
      <c r="L27" s="18" t="str">
        <f>IF(I9=2,G9,IF(I10=2,G10,IF(I11=2,G11,IF(I12=2,G12,2.1))))</f>
        <v>Kalani Louis (Tara)</v>
      </c>
      <c r="M27" s="17">
        <v>11.73</v>
      </c>
      <c r="N27" s="17">
        <f>IF(ISNA(RANK(M27,$M$27:$M$30,0)),0,RANK(M27,$M$27:$M$30,0))</f>
        <v>2</v>
      </c>
      <c r="O27" s="20"/>
      <c r="P27" s="27"/>
      <c r="Q27" s="27"/>
      <c r="R27" s="27"/>
      <c r="S27" s="27"/>
    </row>
    <row r="28" spans="2:19" ht="14.25">
      <c r="B28" s="15"/>
      <c r="C28" s="12"/>
      <c r="E28" s="9"/>
      <c r="F28" s="20"/>
      <c r="G28" s="20"/>
      <c r="H28" s="20"/>
      <c r="I28" s="9" t="str">
        <f>$C$7</f>
        <v>White</v>
      </c>
      <c r="J28" s="27"/>
      <c r="K28" s="21">
        <f>IF(I9=2,F9,IF(I10=2,F10,IF(I11=2,F11,IF(I12=2,F12,""))))</f>
        <v>4</v>
      </c>
      <c r="L28" s="18" t="str">
        <f>IF(I17=2,G17,IF(I18=2,G18,IF(I19=2,G19,IF(I20=2,G20,2.2))))</f>
        <v>Tai Murphy (Whaka)</v>
      </c>
      <c r="M28" s="17">
        <v>10.2</v>
      </c>
      <c r="N28" s="17">
        <f>IF(ISNA(RANK(M28,$M$27:$M$30,0)),0,RANK(M28,$M$27:$M$30,0))</f>
        <v>3</v>
      </c>
      <c r="O28" s="27"/>
      <c r="P28" s="27"/>
      <c r="Q28" s="27"/>
      <c r="R28" s="27"/>
      <c r="S28" s="27"/>
    </row>
    <row r="29" spans="2:19" ht="14.25">
      <c r="B29" s="15"/>
      <c r="C29" s="12"/>
      <c r="E29" s="9"/>
      <c r="F29" s="20"/>
      <c r="G29" s="20"/>
      <c r="H29" s="20"/>
      <c r="I29" s="9" t="str">
        <f>$C$8</f>
        <v>Green</v>
      </c>
      <c r="J29" s="27"/>
      <c r="K29" s="105">
        <f>IF(I23=1,F23,IF(I24=1,F24,IF(I25=1,F25,IF(I26=1,F26,""))))</f>
        <v>10</v>
      </c>
      <c r="L29" s="18" t="str">
        <f>IF(I23=1,G23,IF(I24=1,G24,IF(I25=1,G25,IF(I26=1,G26,1.3))))</f>
        <v>Tai Erceg - Gray (Whngrei)</v>
      </c>
      <c r="M29" s="17">
        <v>5.4</v>
      </c>
      <c r="N29" s="17">
        <f>IF(ISNA(RANK(M29,$M$27:$M$30,0)),0,RANK(M29,$M$27:$M$30,0))</f>
        <v>4</v>
      </c>
      <c r="O29" s="27"/>
      <c r="P29" s="27"/>
      <c r="Q29" s="27"/>
      <c r="R29" s="27"/>
      <c r="S29" s="27"/>
    </row>
    <row r="30" spans="2:19" ht="15">
      <c r="B30" s="15"/>
      <c r="C30" s="12"/>
      <c r="E30" s="9"/>
      <c r="G30" s="6" t="s">
        <v>15</v>
      </c>
      <c r="H30" s="27"/>
      <c r="I30" s="9" t="str">
        <f>$C$9</f>
        <v>Blue</v>
      </c>
      <c r="J30" s="27"/>
      <c r="K30" s="106">
        <f>IF(I31=1,F31,IF(I32=1,F32,IF(I33=1,F33,IF(I34=1,F34,""))))</f>
        <v>3</v>
      </c>
      <c r="L30" s="18" t="str">
        <f>IF(I31=1,G31,IF(I32=1,G32,IF(I33=1,G33,IF(I34=1,G34,1.4))))</f>
        <v>Beau woods (mnt)</v>
      </c>
      <c r="M30" s="17">
        <v>11.77</v>
      </c>
      <c r="N30" s="17">
        <f>IF(ISNA(RANK(M30,$M$27:$M$30,0)),0,RANK(M30,$M$27:$M$30,0))</f>
        <v>1</v>
      </c>
      <c r="O30" s="27"/>
      <c r="P30" s="27"/>
      <c r="Q30" s="27"/>
      <c r="R30" s="27"/>
      <c r="S30" s="27"/>
    </row>
    <row r="31" spans="2:19" ht="14.25">
      <c r="B31" s="15"/>
      <c r="C31" s="12"/>
      <c r="E31" s="9" t="str">
        <f>$C$6</f>
        <v>Red</v>
      </c>
      <c r="F31" s="104">
        <f>$C$13</f>
        <v>3</v>
      </c>
      <c r="G31" s="17" t="str">
        <f>$B$13</f>
        <v>Beau woods (mnt)</v>
      </c>
      <c r="H31" s="17">
        <v>10.17</v>
      </c>
      <c r="I31" s="17">
        <f>IF(ISNA(RANK(H31,$H$31:$H$34,0)),0,RANK(H31,$H$31:$H$34,0))</f>
        <v>1</v>
      </c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2:19" ht="14.25">
      <c r="B32" s="15"/>
      <c r="C32" s="12"/>
      <c r="E32" s="9" t="str">
        <f>$C$7</f>
        <v>White</v>
      </c>
      <c r="F32" s="21">
        <f>$C$16</f>
        <v>6</v>
      </c>
      <c r="G32" s="17" t="str">
        <f>$B$16</f>
        <v>Jack McKenzie (Chch)</v>
      </c>
      <c r="H32" s="17">
        <v>7.24</v>
      </c>
      <c r="I32" s="17">
        <f>IF(ISNA(RANK(H32,$H$31:$H$34,0)),0,RANK(H32,$H$31:$H$34,0))</f>
        <v>4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2:19" ht="14.25">
      <c r="B33" s="15"/>
      <c r="C33" s="12"/>
      <c r="E33" s="9" t="str">
        <f>$C$8</f>
        <v>Green</v>
      </c>
      <c r="F33" s="105">
        <f>$C$21</f>
        <v>11</v>
      </c>
      <c r="G33" s="17" t="str">
        <f>$B$21</f>
        <v>Will Hardie (Piha)</v>
      </c>
      <c r="H33" s="17">
        <v>9.17</v>
      </c>
      <c r="I33" s="17">
        <f>IF(ISNA(RANK(H33,$H$31:$H$34,0)),0,RANK(H33,$H$31:$H$34,0))</f>
        <v>2</v>
      </c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5:19" ht="14.25">
      <c r="E34" s="9" t="str">
        <f>$C$9</f>
        <v>Blue</v>
      </c>
      <c r="F34" s="106">
        <f>$C$24</f>
        <v>14</v>
      </c>
      <c r="G34" s="17" t="str">
        <f>$B$24</f>
        <v>Cooper Ashill (Whngrei)</v>
      </c>
      <c r="H34" s="17">
        <v>7.53</v>
      </c>
      <c r="I34" s="17">
        <f>IF(ISNA(RANK(H34,$H$31:$H$34,0)),0,RANK(H34,$H$31:$H$34,0))</f>
        <v>3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</row>
  </sheetData>
  <sheetProtection/>
  <printOptions horizontalCentered="1" verticalCentered="1"/>
  <pageMargins left="0" right="0" top="0" bottom="0" header="0" footer="0"/>
  <pageSetup horizontalDpi="300" verticalDpi="300" orientation="landscape" paperSize="9" scale="10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showGridLines="0" view="pageBreakPreview" zoomScale="80" zoomScaleNormal="75" zoomScaleSheetLayoutView="80" zoomScalePageLayoutView="0" workbookViewId="0" topLeftCell="A1">
      <selection activeCell="I18" sqref="I18"/>
    </sheetView>
  </sheetViews>
  <sheetFormatPr defaultColWidth="11.875" defaultRowHeight="12.75"/>
  <cols>
    <col min="1" max="1" width="2.75390625" style="1" customWidth="1"/>
    <col min="2" max="2" width="42.25390625" style="1" customWidth="1"/>
    <col min="3" max="3" width="5.625" style="1" bestFit="1" customWidth="1"/>
    <col min="4" max="4" width="1.25" style="1" customWidth="1"/>
    <col min="5" max="5" width="5.375" style="1" bestFit="1" customWidth="1"/>
    <col min="6" max="6" width="5.625" style="1" customWidth="1"/>
    <col min="7" max="7" width="24.375" style="1" customWidth="1"/>
    <col min="8" max="8" width="9.125" style="1" customWidth="1"/>
    <col min="9" max="9" width="5.25390625" style="1" customWidth="1"/>
    <col min="10" max="10" width="5.75390625" style="1" customWidth="1"/>
    <col min="11" max="11" width="5.625" style="1" customWidth="1"/>
    <col min="12" max="12" width="24.625" style="1" customWidth="1"/>
    <col min="13" max="13" width="6.25390625" style="1" customWidth="1"/>
    <col min="14" max="14" width="6.125" style="1" customWidth="1"/>
    <col min="15" max="15" width="6.25390625" style="1" customWidth="1"/>
    <col min="16" max="16" width="7.00390625" style="1" customWidth="1"/>
    <col min="17" max="16384" width="11.875" style="1" customWidth="1"/>
  </cols>
  <sheetData>
    <row r="1" spans="2:10" ht="15.75">
      <c r="B1" s="22" t="s">
        <v>82</v>
      </c>
      <c r="F1" s="2" t="s">
        <v>0</v>
      </c>
      <c r="J1" s="3"/>
    </row>
    <row r="2" spans="1:10" ht="12.75">
      <c r="A2" s="3"/>
      <c r="B2" s="22" t="s">
        <v>71</v>
      </c>
      <c r="C2" s="39"/>
      <c r="D2" s="3"/>
      <c r="E2" s="11"/>
      <c r="J2" s="3"/>
    </row>
    <row r="3" spans="1:16" ht="15.75">
      <c r="A3" s="3"/>
      <c r="B3" s="22" t="s">
        <v>72</v>
      </c>
      <c r="C3" s="4"/>
      <c r="D3" s="3"/>
      <c r="F3" s="2" t="str">
        <f>B1</f>
        <v>NZ Grom Series - Super 16 Final - pres by Skinnies and Volkswagen</v>
      </c>
      <c r="G3" s="5"/>
      <c r="P3" s="7">
        <f>IF(E2=1,5000,IF(E2=2,10000,IF(E2=3,15000,IF(E2=4,20000,IF(E2=5,25000,IF(E2=6,30000,""))))))</f>
      </c>
    </row>
    <row r="4" spans="2:10" ht="15.75">
      <c r="B4" s="22" t="s">
        <v>73</v>
      </c>
      <c r="C4" s="3"/>
      <c r="D4" s="3"/>
      <c r="F4" s="2" t="str">
        <f>B3</f>
        <v>SNZ Sanctioned</v>
      </c>
      <c r="H4" s="23" t="str">
        <f>B2</f>
        <v>Piha Beach, Auckland</v>
      </c>
      <c r="J4" s="3"/>
    </row>
    <row r="5" spans="1:10" ht="15.75">
      <c r="A5" s="59"/>
      <c r="B5" s="22" t="s">
        <v>80</v>
      </c>
      <c r="C5" s="60"/>
      <c r="F5" s="2" t="str">
        <f>$B$4</f>
        <v>15th May 2021</v>
      </c>
      <c r="H5" s="23"/>
      <c r="J5" s="3"/>
    </row>
    <row r="6" spans="1:12" ht="15">
      <c r="A6" s="60"/>
      <c r="B6" s="57" t="s">
        <v>2</v>
      </c>
      <c r="C6" s="60" t="s">
        <v>3</v>
      </c>
      <c r="F6" s="19"/>
      <c r="G6" s="8" t="str">
        <f>B5</f>
        <v>Under 18 Girls Division</v>
      </c>
      <c r="H6" s="6" t="s">
        <v>69</v>
      </c>
      <c r="I6" s="9"/>
      <c r="J6" s="3"/>
      <c r="K6" s="14"/>
      <c r="L6" s="11"/>
    </row>
    <row r="7" spans="1:13" ht="11.25">
      <c r="A7" s="60"/>
      <c r="B7" s="57" t="s">
        <v>4</v>
      </c>
      <c r="C7" s="60" t="s">
        <v>5</v>
      </c>
      <c r="G7" s="9" t="s">
        <v>16</v>
      </c>
      <c r="H7" s="10">
        <f>IF($C$2=1,153,IF($C$2=2,305,IF($C$2=3,610,IF($C$2=4,915,IF($C$2=5,1220,IF($C$2=6,1525,""))))))</f>
      </c>
      <c r="I7" s="26"/>
      <c r="J7" s="10"/>
      <c r="L7" s="11"/>
      <c r="M7" s="13"/>
    </row>
    <row r="8" spans="1:14" ht="15">
      <c r="A8" s="60" t="s">
        <v>6</v>
      </c>
      <c r="B8" s="57" t="s">
        <v>7</v>
      </c>
      <c r="C8" s="60" t="s">
        <v>27</v>
      </c>
      <c r="G8" s="9" t="s">
        <v>17</v>
      </c>
      <c r="H8" s="10">
        <f>IF($C$2=1,139,IF($C$2=2,278,IF($C$2=3,555,IF($C$2=4,833,IF($C$2=5,1110,IF($C$2=6,1388,""))))))</f>
      </c>
      <c r="I8" s="26"/>
      <c r="J8" s="10"/>
      <c r="M8" s="8" t="str">
        <f>B5</f>
        <v>Under 18 Girls Division</v>
      </c>
      <c r="N8" s="8" t="s">
        <v>70</v>
      </c>
    </row>
    <row r="9" spans="1:14" ht="15">
      <c r="A9" s="60" t="s">
        <v>11</v>
      </c>
      <c r="B9" s="57" t="s">
        <v>12</v>
      </c>
      <c r="C9" s="60" t="s">
        <v>22</v>
      </c>
      <c r="G9" s="6" t="s">
        <v>8</v>
      </c>
      <c r="H9" s="1" t="s">
        <v>23</v>
      </c>
      <c r="I9" s="1" t="s">
        <v>24</v>
      </c>
      <c r="L9" s="9" t="s">
        <v>18</v>
      </c>
      <c r="M9" s="10">
        <f>IF($C$2=4,1500,IF($C$2=5,2000,IF($C$2=6,2500,"")))</f>
      </c>
      <c r="N9" s="13"/>
    </row>
    <row r="10" spans="1:14" ht="14.25">
      <c r="A10" s="60" t="s">
        <v>13</v>
      </c>
      <c r="B10" s="57" t="s">
        <v>14</v>
      </c>
      <c r="C10" s="59"/>
      <c r="E10" s="9" t="str">
        <f>$C$6</f>
        <v>Red</v>
      </c>
      <c r="F10" s="104">
        <f>$C$11</f>
        <v>1</v>
      </c>
      <c r="G10" s="17" t="str">
        <f>$B$11</f>
        <v>Natasha Gouldsbury (Levin)</v>
      </c>
      <c r="H10" s="17">
        <v>7.36</v>
      </c>
      <c r="I10" s="17">
        <f>IF(ISNA(RANK(H10,$H$10:$H$13,0)),0,RANK(H10,$H$10:$H$13,0))</f>
        <v>2</v>
      </c>
      <c r="K10" s="20"/>
      <c r="L10" s="9" t="s">
        <v>19</v>
      </c>
      <c r="M10" s="10">
        <f>IF($C$2=4,1290,IF($C$2=5,1720,IF($C$2=6,2150,"")))</f>
      </c>
      <c r="N10" s="13"/>
    </row>
    <row r="11" spans="1:14" ht="14.25">
      <c r="A11" s="59">
        <v>1</v>
      </c>
      <c r="B11" s="52" t="s">
        <v>113</v>
      </c>
      <c r="C11" s="58">
        <v>1</v>
      </c>
      <c r="E11" s="9" t="str">
        <f>$C$7</f>
        <v>White</v>
      </c>
      <c r="F11" s="21">
        <f>$C$14</f>
        <v>4</v>
      </c>
      <c r="G11" s="17" t="str">
        <f>$B$14</f>
        <v>Liv Haysom (Piha)</v>
      </c>
      <c r="H11" s="17">
        <v>12.67</v>
      </c>
      <c r="I11" s="17">
        <f>IF(ISNA(RANK(H11,$H$10:$H$13,0)),0,RANK(H11,$H$10:$H$13,0))</f>
        <v>1</v>
      </c>
      <c r="K11" s="20"/>
      <c r="L11" s="9" t="s">
        <v>20</v>
      </c>
      <c r="M11" s="10">
        <f>IF($C$2=4,1095,IF($C$2=5,1460,IF($C$2=6,1825,"")))</f>
      </c>
      <c r="N11" s="13"/>
    </row>
    <row r="12" spans="1:14" ht="14.25">
      <c r="A12" s="59">
        <v>2</v>
      </c>
      <c r="B12" s="52" t="s">
        <v>114</v>
      </c>
      <c r="C12" s="58">
        <v>2</v>
      </c>
      <c r="E12" s="9" t="str">
        <f>$C$8</f>
        <v>Green</v>
      </c>
      <c r="F12" s="105">
        <f>$C$15</f>
        <v>5</v>
      </c>
      <c r="G12" s="17" t="str">
        <f>$B$15</f>
        <v>Eloise Addison (Chch)</v>
      </c>
      <c r="H12" s="17">
        <v>4.94</v>
      </c>
      <c r="I12" s="17">
        <f>IF(ISNA(RANK(H12,$H$10:$H$13,0)),0,RANK(H12,$H$10:$H$13,0))</f>
        <v>3</v>
      </c>
      <c r="K12" s="20"/>
      <c r="L12" s="9" t="s">
        <v>21</v>
      </c>
      <c r="M12" s="10">
        <f>IF($C$2=4,1005,IF($C$2=5,1340,IF($C$2=6,1675,"")))</f>
      </c>
      <c r="N12" s="13"/>
    </row>
    <row r="13" spans="1:14" ht="14.25">
      <c r="A13" s="59">
        <v>3</v>
      </c>
      <c r="B13" s="52" t="s">
        <v>115</v>
      </c>
      <c r="C13" s="58">
        <v>3</v>
      </c>
      <c r="E13" s="9" t="str">
        <f>$C$9</f>
        <v>Blue</v>
      </c>
      <c r="F13" s="106">
        <f>$C$18</f>
        <v>8</v>
      </c>
      <c r="G13" s="17">
        <f>$B$18</f>
        <v>0</v>
      </c>
      <c r="H13" s="17"/>
      <c r="I13" s="17">
        <f>IF(ISNA(RANK(H13,$H$10:$H$13,0)),0,RANK(H13,$H$10:$H$13,0))</f>
        <v>0</v>
      </c>
      <c r="J13" s="20"/>
      <c r="K13" s="27"/>
      <c r="M13" s="1" t="s">
        <v>23</v>
      </c>
      <c r="N13" s="1" t="s">
        <v>24</v>
      </c>
    </row>
    <row r="14" spans="1:14" ht="15">
      <c r="A14" s="59">
        <v>4</v>
      </c>
      <c r="B14" s="52" t="s">
        <v>116</v>
      </c>
      <c r="C14" s="58">
        <v>4</v>
      </c>
      <c r="E14" s="9"/>
      <c r="F14" s="20"/>
      <c r="G14" s="20"/>
      <c r="H14" s="20"/>
      <c r="I14" s="9"/>
      <c r="J14" s="9" t="str">
        <f>$C$6</f>
        <v>Red</v>
      </c>
      <c r="K14" s="104">
        <f>IF(I10=1,F10,IF(I11=1,F11,IF(I12=1,F12,IF(I13=1,F13,""))))</f>
        <v>4</v>
      </c>
      <c r="L14" s="18" t="str">
        <f>IF(I10=1,G10,IF(I11=1,G11,IF(I12=1,G12,IF(I13=1,G13,1.1))))</f>
        <v>Liv Haysom (Piha)</v>
      </c>
      <c r="M14" s="17">
        <v>8.87</v>
      </c>
      <c r="N14" s="126">
        <f>IF(ISNA(RANK(M14,$M$14:$M$17,0)),0,RANK(M14,$M$14:$M$17,0))</f>
        <v>3</v>
      </c>
    </row>
    <row r="15" spans="1:14" ht="15">
      <c r="A15" s="59">
        <v>5</v>
      </c>
      <c r="B15" s="52" t="s">
        <v>117</v>
      </c>
      <c r="C15" s="58">
        <v>5</v>
      </c>
      <c r="E15" s="9"/>
      <c r="F15" s="20"/>
      <c r="G15" s="20"/>
      <c r="H15" s="20"/>
      <c r="I15" s="9"/>
      <c r="J15" s="9" t="str">
        <f>$C$7</f>
        <v>White</v>
      </c>
      <c r="K15" s="21">
        <f>IF(I10=2,F10,IF(I11=2,F11,IF(I12=2,F12,IF(I13=2,F13,""))))</f>
        <v>1</v>
      </c>
      <c r="L15" s="18" t="str">
        <f>IF(I10=2,G10,IF(I11=2,G11,IF(I12=2,G12,IF(I13=2,G13,2.1))))</f>
        <v>Natasha Gouldsbury (Levin)</v>
      </c>
      <c r="M15" s="17">
        <v>9.63</v>
      </c>
      <c r="N15" s="126">
        <f>IF(ISNA(RANK(M15,$M$14:$M$17,0)),0,RANK(M15,$M$14:$M$17,0))</f>
        <v>2</v>
      </c>
    </row>
    <row r="16" spans="1:14" ht="15">
      <c r="A16" s="59">
        <v>6</v>
      </c>
      <c r="B16" s="58"/>
      <c r="C16" s="58">
        <v>6</v>
      </c>
      <c r="E16" s="9"/>
      <c r="F16" s="20"/>
      <c r="G16" s="20"/>
      <c r="H16" s="20"/>
      <c r="I16" s="9"/>
      <c r="J16" s="9" t="str">
        <f>$C$8</f>
        <v>Green</v>
      </c>
      <c r="K16" s="105">
        <f>IF(I18=1,F18,IF(I19=1,F19,IF(I20=1,F20,IF(I21=1,F21,""))))</f>
        <v>2</v>
      </c>
      <c r="L16" s="18" t="str">
        <f>IF(I18=1,G18,IF(I19=1,G19,IF(I20=1,G20,IF(I21=1,G21,1.2))))</f>
        <v>Ariana Shewry (Tara)</v>
      </c>
      <c r="M16" s="17">
        <v>8.74</v>
      </c>
      <c r="N16" s="126">
        <f>IF(ISNA(RANK(M16,$M$14:$M$17,0)),0,RANK(M16,$M$14:$M$17,0))</f>
        <v>4</v>
      </c>
    </row>
    <row r="17" spans="1:14" ht="15.75">
      <c r="A17" s="59">
        <v>7</v>
      </c>
      <c r="B17" s="58"/>
      <c r="C17" s="58">
        <v>7</v>
      </c>
      <c r="E17" s="9"/>
      <c r="G17" s="6" t="s">
        <v>9</v>
      </c>
      <c r="H17" s="27"/>
      <c r="I17" s="9"/>
      <c r="J17" s="9" t="str">
        <f>$C$9</f>
        <v>Blue</v>
      </c>
      <c r="K17" s="106">
        <f>IF(I18=2,F18,IF(I19=2,F19,IF(I20=2,F20,IF(I21=2,F21,""))))</f>
        <v>3</v>
      </c>
      <c r="L17" s="18" t="str">
        <f>IF(I18=2,G18,IF(I19=2,G19,IF(I20=2,G20,IF(I21=2,G21,2.2))))</f>
        <v>Ava Henderson (Chch)</v>
      </c>
      <c r="M17" s="17">
        <v>13.8</v>
      </c>
      <c r="N17" s="126">
        <f>IF(ISNA(RANK(M17,$M$14:$M$17,0)),0,RANK(M17,$M$14:$M$17,0))</f>
        <v>1</v>
      </c>
    </row>
    <row r="18" spans="1:9" ht="14.25">
      <c r="A18" s="59">
        <v>8</v>
      </c>
      <c r="B18" s="58"/>
      <c r="C18" s="58">
        <v>8</v>
      </c>
      <c r="E18" s="9" t="str">
        <f>$C$6</f>
        <v>Red</v>
      </c>
      <c r="F18" s="104">
        <f>$C$12</f>
        <v>2</v>
      </c>
      <c r="G18" s="17" t="str">
        <f>$B$12</f>
        <v>Ariana Shewry (Tara)</v>
      </c>
      <c r="H18" s="17">
        <v>2</v>
      </c>
      <c r="I18" s="17">
        <f>IF(ISNA(RANK(H18,$H$18:$H$21,0)),0,RANK(H18,$H$18:$H$21,0))</f>
        <v>1</v>
      </c>
    </row>
    <row r="19" spans="1:9" ht="14.25">
      <c r="A19" s="59">
        <v>9</v>
      </c>
      <c r="B19" s="58"/>
      <c r="C19" s="58">
        <v>9</v>
      </c>
      <c r="E19" s="9" t="str">
        <f>$C$7</f>
        <v>White</v>
      </c>
      <c r="F19" s="21">
        <f>$C$13</f>
        <v>3</v>
      </c>
      <c r="G19" s="17" t="str">
        <f>$B$13</f>
        <v>Ava Henderson (Chch)</v>
      </c>
      <c r="H19" s="17">
        <v>1</v>
      </c>
      <c r="I19" s="17">
        <f>IF(ISNA(RANK(H19,$H$18:$H$21,0)),0,RANK(H19,$H$18:$H$21,0))</f>
        <v>2</v>
      </c>
    </row>
    <row r="20" spans="1:14" ht="14.25">
      <c r="A20" s="59">
        <v>10</v>
      </c>
      <c r="B20" s="58"/>
      <c r="C20" s="58">
        <v>10</v>
      </c>
      <c r="E20" s="9" t="str">
        <f>$C$8</f>
        <v>Green</v>
      </c>
      <c r="F20" s="105">
        <f>$C$16</f>
        <v>6</v>
      </c>
      <c r="G20" s="17">
        <f>$B$16</f>
        <v>0</v>
      </c>
      <c r="H20" s="17"/>
      <c r="I20" s="17">
        <f>IF(ISNA(RANK(H20,$H$18:$H$21,0)),0,RANK(H20,$H$18:$H$21,0))</f>
        <v>0</v>
      </c>
      <c r="K20" s="27"/>
      <c r="L20" s="27"/>
      <c r="M20" s="27"/>
      <c r="N20" s="27"/>
    </row>
    <row r="21" spans="1:14" ht="14.25">
      <c r="A21" s="59">
        <v>11</v>
      </c>
      <c r="B21" s="58"/>
      <c r="C21" s="58">
        <v>11</v>
      </c>
      <c r="E21" s="9" t="str">
        <f>$C$9</f>
        <v>Blue</v>
      </c>
      <c r="F21" s="106">
        <f>$C$17</f>
        <v>7</v>
      </c>
      <c r="G21" s="17">
        <f>$B$17</f>
        <v>0</v>
      </c>
      <c r="H21" s="17"/>
      <c r="I21" s="17">
        <f>IF(ISNA(RANK(H21,$H$18:$H$21,0)),0,RANK(H21,$H$18:$H$21,0))</f>
        <v>0</v>
      </c>
      <c r="K21" s="27"/>
      <c r="L21" s="27"/>
      <c r="M21" s="27"/>
      <c r="N21" s="27"/>
    </row>
    <row r="22" spans="1:10" ht="14.25">
      <c r="A22" s="59">
        <v>12</v>
      </c>
      <c r="B22" s="58"/>
      <c r="C22" s="58">
        <v>12</v>
      </c>
      <c r="E22" s="9"/>
      <c r="F22" s="16"/>
      <c r="G22" s="20"/>
      <c r="H22" s="20"/>
      <c r="J22" s="20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P22"/>
  <sheetViews>
    <sheetView showGridLines="0" view="pageBreakPreview" zoomScale="80" zoomScaleNormal="75" zoomScaleSheetLayoutView="80" zoomScalePageLayoutView="0" workbookViewId="0" topLeftCell="A1">
      <selection activeCell="L14" sqref="L14"/>
    </sheetView>
  </sheetViews>
  <sheetFormatPr defaultColWidth="11.875" defaultRowHeight="12.75"/>
  <cols>
    <col min="1" max="1" width="2.75390625" style="1" customWidth="1"/>
    <col min="2" max="2" width="42.25390625" style="1" customWidth="1"/>
    <col min="3" max="3" width="5.625" style="1" bestFit="1" customWidth="1"/>
    <col min="4" max="4" width="1.25" style="1" customWidth="1"/>
    <col min="5" max="5" width="5.375" style="1" bestFit="1" customWidth="1"/>
    <col min="6" max="6" width="5.625" style="1" customWidth="1"/>
    <col min="7" max="7" width="24.375" style="1" customWidth="1"/>
    <col min="8" max="8" width="7.875" style="1" customWidth="1"/>
    <col min="9" max="9" width="5.25390625" style="1" customWidth="1"/>
    <col min="10" max="10" width="5.75390625" style="1" customWidth="1"/>
    <col min="11" max="11" width="5.625" style="1" customWidth="1"/>
    <col min="12" max="12" width="24.625" style="1" customWidth="1"/>
    <col min="13" max="13" width="6.25390625" style="1" customWidth="1"/>
    <col min="14" max="14" width="6.125" style="1" customWidth="1"/>
    <col min="15" max="15" width="6.25390625" style="1" customWidth="1"/>
    <col min="16" max="16" width="7.00390625" style="1" customWidth="1"/>
    <col min="17" max="16384" width="11.875" style="1" customWidth="1"/>
  </cols>
  <sheetData>
    <row r="1" spans="2:10" ht="15.75">
      <c r="B1" s="22" t="s">
        <v>82</v>
      </c>
      <c r="F1" s="2" t="s">
        <v>0</v>
      </c>
      <c r="J1" s="3"/>
    </row>
    <row r="2" spans="1:10" ht="12.75">
      <c r="A2" s="3"/>
      <c r="B2" s="22" t="s">
        <v>71</v>
      </c>
      <c r="C2" s="39"/>
      <c r="D2" s="3"/>
      <c r="E2" s="11"/>
      <c r="J2" s="3"/>
    </row>
    <row r="3" spans="1:16" ht="15.75">
      <c r="A3" s="3"/>
      <c r="B3" s="22" t="s">
        <v>72</v>
      </c>
      <c r="C3" s="4"/>
      <c r="D3" s="3"/>
      <c r="F3" s="2" t="str">
        <f>B1</f>
        <v>NZ Grom Series - Super 16 Final - pres by Skinnies and Volkswagen</v>
      </c>
      <c r="G3" s="5"/>
      <c r="P3" s="7">
        <f>IF(E2=1,5000,IF(E2=2,10000,IF(E2=3,15000,IF(E2=4,20000,IF(E2=5,25000,IF(E2=6,30000,""))))))</f>
      </c>
    </row>
    <row r="4" spans="2:10" ht="15.75">
      <c r="B4" s="22" t="s">
        <v>73</v>
      </c>
      <c r="C4" s="3"/>
      <c r="D4" s="3"/>
      <c r="F4" s="2" t="str">
        <f>B3</f>
        <v>SNZ Sanctioned</v>
      </c>
      <c r="H4" s="23" t="str">
        <f>B2</f>
        <v>Piha Beach, Auckland</v>
      </c>
      <c r="J4" s="3"/>
    </row>
    <row r="5" spans="1:10" ht="15.75">
      <c r="A5" s="59"/>
      <c r="B5" s="22" t="s">
        <v>81</v>
      </c>
      <c r="C5" s="60"/>
      <c r="F5" s="2" t="str">
        <f>$B$4</f>
        <v>15th May 2021</v>
      </c>
      <c r="H5" s="23"/>
      <c r="J5" s="3"/>
    </row>
    <row r="6" spans="1:12" ht="15">
      <c r="A6" s="60"/>
      <c r="B6" s="57" t="s">
        <v>2</v>
      </c>
      <c r="C6" s="60" t="s">
        <v>3</v>
      </c>
      <c r="F6" s="19"/>
      <c r="G6" s="8" t="str">
        <f>B5</f>
        <v>Under 16 Girls Division</v>
      </c>
      <c r="H6" s="6" t="s">
        <v>69</v>
      </c>
      <c r="I6" s="9"/>
      <c r="J6" s="3"/>
      <c r="K6" s="14"/>
      <c r="L6" s="11"/>
    </row>
    <row r="7" spans="1:13" ht="11.25">
      <c r="A7" s="60"/>
      <c r="B7" s="57" t="s">
        <v>4</v>
      </c>
      <c r="C7" s="60" t="s">
        <v>5</v>
      </c>
      <c r="G7" s="9" t="s">
        <v>16</v>
      </c>
      <c r="H7" s="10">
        <f>IF($C$2=1,153,IF($C$2=2,305,IF($C$2=3,610,IF($C$2=4,915,IF($C$2=5,1220,IF($C$2=6,1525,""))))))</f>
      </c>
      <c r="I7" s="26"/>
      <c r="J7" s="10"/>
      <c r="L7" s="11"/>
      <c r="M7" s="13"/>
    </row>
    <row r="8" spans="1:14" ht="15">
      <c r="A8" s="60" t="s">
        <v>6</v>
      </c>
      <c r="B8" s="57" t="s">
        <v>7</v>
      </c>
      <c r="C8" s="60" t="s">
        <v>27</v>
      </c>
      <c r="G8" s="9" t="s">
        <v>17</v>
      </c>
      <c r="H8" s="10">
        <f>IF($C$2=1,139,IF($C$2=2,278,IF($C$2=3,555,IF($C$2=4,833,IF($C$2=5,1110,IF($C$2=6,1388,""))))))</f>
      </c>
      <c r="I8" s="26"/>
      <c r="J8" s="10"/>
      <c r="M8" s="8" t="str">
        <f>B5</f>
        <v>Under 16 Girls Division</v>
      </c>
      <c r="N8" s="8" t="s">
        <v>70</v>
      </c>
    </row>
    <row r="9" spans="1:14" ht="15">
      <c r="A9" s="60" t="s">
        <v>11</v>
      </c>
      <c r="B9" s="57" t="s">
        <v>12</v>
      </c>
      <c r="C9" s="60" t="s">
        <v>22</v>
      </c>
      <c r="G9" s="6" t="s">
        <v>8</v>
      </c>
      <c r="H9" s="1" t="s">
        <v>23</v>
      </c>
      <c r="I9" s="1" t="s">
        <v>24</v>
      </c>
      <c r="L9" s="9" t="s">
        <v>18</v>
      </c>
      <c r="M9" s="10">
        <f>IF($C$2=4,1500,IF($C$2=5,2000,IF($C$2=6,2500,"")))</f>
      </c>
      <c r="N9" s="13"/>
    </row>
    <row r="10" spans="1:14" ht="14.25">
      <c r="A10" s="60" t="s">
        <v>13</v>
      </c>
      <c r="B10" s="57" t="s">
        <v>14</v>
      </c>
      <c r="C10" s="59"/>
      <c r="E10" s="9" t="str">
        <f>$C$6</f>
        <v>Red</v>
      </c>
      <c r="F10" s="104">
        <f>$C$11</f>
        <v>1</v>
      </c>
      <c r="G10" s="17" t="str">
        <f>$B$11</f>
        <v>Anna Brock (Mnt)</v>
      </c>
      <c r="H10" s="17">
        <v>9.63</v>
      </c>
      <c r="I10" s="17">
        <f>IF(ISNA(RANK(H10,$H$10:$H$13,0)),0,RANK(H10,$H$10:$H$13,0))</f>
        <v>1</v>
      </c>
      <c r="K10" s="20"/>
      <c r="L10" s="9" t="s">
        <v>19</v>
      </c>
      <c r="M10" s="10">
        <f>IF($C$2=4,1290,IF($C$2=5,1720,IF($C$2=6,2150,"")))</f>
      </c>
      <c r="N10" s="13"/>
    </row>
    <row r="11" spans="1:14" ht="14.25">
      <c r="A11" s="59">
        <v>1</v>
      </c>
      <c r="B11" s="114" t="s">
        <v>118</v>
      </c>
      <c r="C11" s="58">
        <v>1</v>
      </c>
      <c r="E11" s="9" t="str">
        <f>$C$7</f>
        <v>White</v>
      </c>
      <c r="F11" s="21">
        <f>$C$14</f>
        <v>4</v>
      </c>
      <c r="G11" s="17" t="str">
        <f>$B$14</f>
        <v>Sophia Brock (Mnt)</v>
      </c>
      <c r="H11" s="17">
        <v>8.96</v>
      </c>
      <c r="I11" s="17">
        <f>IF(ISNA(RANK(H11,$H$10:$H$13,0)),0,RANK(H11,$H$10:$H$13,0))</f>
        <v>2</v>
      </c>
      <c r="K11" s="20"/>
      <c r="L11" s="9" t="s">
        <v>20</v>
      </c>
      <c r="M11" s="10">
        <f>IF($C$2=4,1095,IF($C$2=5,1460,IF($C$2=6,1825,"")))</f>
      </c>
      <c r="N11" s="13"/>
    </row>
    <row r="12" spans="1:14" ht="14.25">
      <c r="A12" s="59">
        <v>2</v>
      </c>
      <c r="B12" s="114" t="s">
        <v>119</v>
      </c>
      <c r="C12" s="58">
        <v>2</v>
      </c>
      <c r="E12" s="9" t="str">
        <f>$C$8</f>
        <v>Green</v>
      </c>
      <c r="F12" s="105">
        <f>$C$15</f>
        <v>5</v>
      </c>
      <c r="G12" s="17" t="str">
        <f>$B$15</f>
        <v>Pia Rogers (WGM)</v>
      </c>
      <c r="H12" s="17">
        <v>5.73</v>
      </c>
      <c r="I12" s="17">
        <f>IF(ISNA(RANK(H12,$H$10:$H$13,0)),0,RANK(H12,$H$10:$H$13,0))</f>
        <v>3</v>
      </c>
      <c r="K12" s="20"/>
      <c r="L12" s="9" t="s">
        <v>21</v>
      </c>
      <c r="M12" s="10">
        <f>IF($C$2=4,1005,IF($C$2=5,1340,IF($C$2=6,1675,"")))</f>
      </c>
      <c r="N12" s="13"/>
    </row>
    <row r="13" spans="1:14" ht="14.25">
      <c r="A13" s="59">
        <v>3</v>
      </c>
      <c r="B13" s="115" t="s">
        <v>120</v>
      </c>
      <c r="C13" s="58">
        <v>3</v>
      </c>
      <c r="E13" s="9" t="str">
        <f>$C$9</f>
        <v>Blue</v>
      </c>
      <c r="F13" s="106">
        <f>$C$18</f>
        <v>8</v>
      </c>
      <c r="G13" s="17" t="str">
        <f>$B$18</f>
        <v>Amelie Wink (Chch)</v>
      </c>
      <c r="H13" s="17">
        <v>5.4</v>
      </c>
      <c r="I13" s="17">
        <f>IF(ISNA(RANK(H13,$H$10:$H$13,0)),0,RANK(H13,$H$10:$H$13,0))</f>
        <v>4</v>
      </c>
      <c r="J13" s="20"/>
      <c r="K13" s="27"/>
      <c r="M13" s="1" t="s">
        <v>23</v>
      </c>
      <c r="N13" s="1" t="s">
        <v>24</v>
      </c>
    </row>
    <row r="14" spans="1:14" ht="14.25">
      <c r="A14" s="59">
        <v>4</v>
      </c>
      <c r="B14" s="114" t="s">
        <v>121</v>
      </c>
      <c r="C14" s="58">
        <v>4</v>
      </c>
      <c r="E14" s="9"/>
      <c r="F14" s="20"/>
      <c r="G14" s="20"/>
      <c r="H14" s="20"/>
      <c r="I14" s="9"/>
      <c r="J14" s="9" t="str">
        <f>$C$6</f>
        <v>Red</v>
      </c>
      <c r="K14" s="104">
        <f>IF(I10=1,F10,IF(I11=1,F11,IF(I12=1,F12,IF(I13=1,F13,""))))</f>
        <v>1</v>
      </c>
      <c r="L14" s="18" t="str">
        <f>IF(I10=1,G10,IF(I11=1,G11,IF(I12=1,G12,IF(I13=1,G13,1.1))))</f>
        <v>Anna Brock (Mnt)</v>
      </c>
      <c r="M14" s="17">
        <v>11.3</v>
      </c>
      <c r="N14" s="24">
        <f>IF(ISNA(RANK(M14,$M$14:$M$17,0)),0,RANK(M14,$M$14:$M$17,0))</f>
        <v>1</v>
      </c>
    </row>
    <row r="15" spans="1:14" ht="14.25">
      <c r="A15" s="59">
        <v>5</v>
      </c>
      <c r="B15" s="52" t="s">
        <v>122</v>
      </c>
      <c r="C15" s="58">
        <v>5</v>
      </c>
      <c r="E15" s="9"/>
      <c r="F15" s="20"/>
      <c r="G15" s="20"/>
      <c r="H15" s="20"/>
      <c r="I15" s="9"/>
      <c r="J15" s="9" t="str">
        <f>$C$7</f>
        <v>White</v>
      </c>
      <c r="K15" s="21">
        <f>IF(I10=2,F10,IF(I11=2,F11,IF(I12=2,F12,IF(I13=2,F13,""))))</f>
        <v>4</v>
      </c>
      <c r="L15" s="18" t="str">
        <f>IF(I10=2,G10,IF(I11=2,G11,IF(I12=2,G12,IF(I13=2,G13,2.1))))</f>
        <v>Sophia Brock (Mnt)</v>
      </c>
      <c r="M15" s="17">
        <v>3.9</v>
      </c>
      <c r="N15" s="24">
        <f>IF(ISNA(RANK(M15,$M$14:$M$17,0)),0,RANK(M15,$M$14:$M$17,0))</f>
        <v>4</v>
      </c>
    </row>
    <row r="16" spans="1:14" ht="14.25">
      <c r="A16" s="59">
        <v>6</v>
      </c>
      <c r="B16" s="115" t="s">
        <v>123</v>
      </c>
      <c r="C16" s="58">
        <v>6</v>
      </c>
      <c r="E16" s="9"/>
      <c r="F16" s="20"/>
      <c r="G16" s="20"/>
      <c r="H16" s="20"/>
      <c r="I16" s="9"/>
      <c r="J16" s="9" t="str">
        <f>$C$8</f>
        <v>Green</v>
      </c>
      <c r="K16" s="105">
        <f>IF(I18=1,F18,IF(I19=1,F19,IF(I20=1,F20,IF(I21=1,F21,""))))</f>
        <v>2</v>
      </c>
      <c r="L16" s="18" t="str">
        <f>IF(I18=1,G18,IF(I19=1,G19,IF(I20=1,G20,IF(I21=1,G21,1.2))))</f>
        <v>Leia Millar (Piha)</v>
      </c>
      <c r="M16" s="17">
        <v>9.26</v>
      </c>
      <c r="N16" s="24">
        <f>IF(ISNA(RANK(M16,$M$14:$M$17,0)),0,RANK(M16,$M$14:$M$17,0))</f>
        <v>2</v>
      </c>
    </row>
    <row r="17" spans="1:14" ht="15">
      <c r="A17" s="59">
        <v>7</v>
      </c>
      <c r="B17" s="52" t="s">
        <v>124</v>
      </c>
      <c r="C17" s="58">
        <v>7</v>
      </c>
      <c r="E17" s="9"/>
      <c r="G17" s="6" t="s">
        <v>9</v>
      </c>
      <c r="H17" s="27"/>
      <c r="I17" s="9"/>
      <c r="J17" s="9" t="str">
        <f>$C$9</f>
        <v>Blue</v>
      </c>
      <c r="K17" s="106">
        <f>IF(I18=2,F18,IF(I19=2,F19,IF(I20=2,F20,IF(I21=2,F21,""))))</f>
        <v>3</v>
      </c>
      <c r="L17" s="18" t="str">
        <f>IF(I18=2,G18,IF(I19=2,G19,IF(I20=2,G20,IF(I21=2,G21,2.2))))</f>
        <v>Asia Braithwaite (Gis)</v>
      </c>
      <c r="M17" s="17">
        <v>8.37</v>
      </c>
      <c r="N17" s="24">
        <f>IF(ISNA(RANK(M17,$M$14:$M$17,0)),0,RANK(M17,$M$14:$M$17,0))</f>
        <v>3</v>
      </c>
    </row>
    <row r="18" spans="1:9" ht="14.25">
      <c r="A18" s="59">
        <v>8</v>
      </c>
      <c r="B18" s="115" t="s">
        <v>125</v>
      </c>
      <c r="C18" s="58">
        <v>8</v>
      </c>
      <c r="E18" s="9" t="str">
        <f>$C$6</f>
        <v>Red</v>
      </c>
      <c r="F18" s="104">
        <f>$C$12</f>
        <v>2</v>
      </c>
      <c r="G18" s="17" t="str">
        <f>$B$12</f>
        <v>Leia Millar (Piha)</v>
      </c>
      <c r="H18" s="17">
        <v>13.43</v>
      </c>
      <c r="I18" s="17">
        <f>IF(ISNA(RANK(H18,$H$18:$H$21,0)),0,RANK(H18,$H$18:$H$21,0))</f>
        <v>1</v>
      </c>
    </row>
    <row r="19" spans="1:9" ht="14.25">
      <c r="A19" s="59">
        <v>9</v>
      </c>
      <c r="B19" s="58"/>
      <c r="C19" s="58">
        <v>9</v>
      </c>
      <c r="E19" s="9" t="str">
        <f>$C$7</f>
        <v>White</v>
      </c>
      <c r="F19" s="21">
        <f>$C$13</f>
        <v>3</v>
      </c>
      <c r="G19" s="17" t="str">
        <f>$B$13</f>
        <v>Asia Braithwaite (Gis)</v>
      </c>
      <c r="H19" s="17">
        <v>7.36</v>
      </c>
      <c r="I19" s="17">
        <f>IF(ISNA(RANK(H19,$H$18:$H$21,0)),0,RANK(H19,$H$18:$H$21,0))</f>
        <v>2</v>
      </c>
    </row>
    <row r="20" spans="1:14" ht="14.25">
      <c r="A20" s="59">
        <v>10</v>
      </c>
      <c r="B20" s="58"/>
      <c r="C20" s="58">
        <v>10</v>
      </c>
      <c r="E20" s="9" t="str">
        <f>$C$8</f>
        <v>Green</v>
      </c>
      <c r="F20" s="105">
        <f>$C$16</f>
        <v>6</v>
      </c>
      <c r="G20" s="17" t="str">
        <f>$B$16</f>
        <v>Chloe Groube (Pau)</v>
      </c>
      <c r="H20" s="17">
        <v>5.67</v>
      </c>
      <c r="I20" s="17">
        <f>IF(ISNA(RANK(H20,$H$18:$H$21,0)),0,RANK(H20,$H$18:$H$21,0))</f>
        <v>4</v>
      </c>
      <c r="K20" s="27"/>
      <c r="L20" s="27"/>
      <c r="M20" s="27"/>
      <c r="N20" s="27"/>
    </row>
    <row r="21" spans="1:14" ht="14.25">
      <c r="A21" s="59">
        <v>11</v>
      </c>
      <c r="B21" s="58"/>
      <c r="C21" s="58">
        <v>11</v>
      </c>
      <c r="E21" s="9" t="str">
        <f>$C$9</f>
        <v>Blue</v>
      </c>
      <c r="F21" s="106">
        <f>$C$17</f>
        <v>7</v>
      </c>
      <c r="G21" s="17" t="str">
        <f>$B$17</f>
        <v>Amanda Gouldsbury (Tara)</v>
      </c>
      <c r="H21" s="17">
        <v>5.83</v>
      </c>
      <c r="I21" s="17">
        <f>IF(ISNA(RANK(H21,$H$18:$H$21,0)),0,RANK(H21,$H$18:$H$21,0))</f>
        <v>3</v>
      </c>
      <c r="K21" s="27"/>
      <c r="L21" s="27"/>
      <c r="M21" s="27"/>
      <c r="N21" s="27"/>
    </row>
    <row r="22" spans="1:10" ht="14.25">
      <c r="A22" s="59">
        <v>12</v>
      </c>
      <c r="B22" s="58"/>
      <c r="C22" s="58">
        <v>12</v>
      </c>
      <c r="E22" s="9"/>
      <c r="F22" s="16"/>
      <c r="G22" s="20"/>
      <c r="H22" s="20"/>
      <c r="J22" s="20"/>
    </row>
  </sheetData>
  <sheetProtection/>
  <printOptions horizontalCentered="1" verticalCentered="1"/>
  <pageMargins left="0" right="0" top="0" bottom="0" header="0" footer="0"/>
  <pageSetup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2"/>
  </sheetPr>
  <dimension ref="A1:H46"/>
  <sheetViews>
    <sheetView view="pageBreakPreview" zoomScaleSheetLayoutView="100" zoomScalePageLayoutView="0" workbookViewId="0" topLeftCell="A1">
      <selection activeCell="H18" sqref="H18"/>
    </sheetView>
  </sheetViews>
  <sheetFormatPr defaultColWidth="9.00390625" defaultRowHeight="12.75"/>
  <cols>
    <col min="1" max="1" width="25.25390625" style="53" customWidth="1"/>
    <col min="2" max="2" width="6.25390625" style="53" customWidth="1"/>
    <col min="3" max="3" width="4.25390625" style="53" customWidth="1"/>
    <col min="4" max="4" width="2.25390625" style="53" customWidth="1"/>
    <col min="5" max="5" width="26.25390625" style="53" customWidth="1"/>
    <col min="6" max="6" width="6.25390625" style="53" customWidth="1"/>
    <col min="7" max="7" width="4.25390625" style="53" customWidth="1"/>
    <col min="8" max="8" width="5.875" style="53" customWidth="1"/>
    <col min="9" max="9" width="9.125" style="53" customWidth="1"/>
    <col min="10" max="10" width="5.875" style="53" customWidth="1"/>
    <col min="11" max="16384" width="9.125" style="53" customWidth="1"/>
  </cols>
  <sheetData>
    <row r="1" ht="20.25">
      <c r="A1" s="103" t="s">
        <v>83</v>
      </c>
    </row>
    <row r="2" ht="18">
      <c r="A2" s="102" t="s">
        <v>151</v>
      </c>
    </row>
    <row r="3" ht="18">
      <c r="A3" s="102" t="s">
        <v>152</v>
      </c>
    </row>
    <row r="5" spans="1:5" s="55" customFormat="1" ht="15">
      <c r="A5" s="54" t="s">
        <v>150</v>
      </c>
      <c r="E5" s="54" t="s">
        <v>25</v>
      </c>
    </row>
    <row r="6" spans="1:7" s="55" customFormat="1" ht="14.25">
      <c r="A6" s="55" t="s">
        <v>48</v>
      </c>
      <c r="B6" s="55" t="s">
        <v>23</v>
      </c>
      <c r="C6" s="55" t="s">
        <v>24</v>
      </c>
      <c r="E6" s="55" t="s">
        <v>48</v>
      </c>
      <c r="F6" s="55" t="s">
        <v>23</v>
      </c>
      <c r="G6" s="55" t="s">
        <v>24</v>
      </c>
    </row>
    <row r="7" spans="1:7" s="55" customFormat="1" ht="14.25">
      <c r="A7" s="56">
        <f>'Open Men''s'!Q20</f>
        <v>1.1</v>
      </c>
      <c r="B7" s="56">
        <f>'Open Men''s'!R20</f>
        <v>0</v>
      </c>
      <c r="C7" s="56">
        <f>'Open Men''s'!S20</f>
        <v>0</v>
      </c>
      <c r="E7" s="56">
        <f>'Open Women''s'!L14</f>
        <v>1.1</v>
      </c>
      <c r="F7" s="56">
        <f>'Open Women''s'!M14</f>
        <v>0</v>
      </c>
      <c r="G7" s="56">
        <f>'Open Women''s'!N14</f>
        <v>0</v>
      </c>
    </row>
    <row r="8" spans="1:7" s="55" customFormat="1" ht="14.25">
      <c r="A8" s="56">
        <f>'Open Men''s'!Q21</f>
        <v>2.1</v>
      </c>
      <c r="B8" s="56">
        <f>'Open Men''s'!R21</f>
        <v>0</v>
      </c>
      <c r="C8" s="56">
        <f>'Open Men''s'!S21</f>
        <v>0</v>
      </c>
      <c r="E8" s="56">
        <f>'Open Women''s'!L15</f>
        <v>2.1</v>
      </c>
      <c r="F8" s="56">
        <f>'Open Women''s'!M15</f>
        <v>0</v>
      </c>
      <c r="G8" s="56">
        <f>'Open Women''s'!N15</f>
        <v>0</v>
      </c>
    </row>
    <row r="9" spans="1:7" s="55" customFormat="1" ht="14.25">
      <c r="A9" s="56">
        <f>'Open Men''s'!Q22</f>
        <v>1.2</v>
      </c>
      <c r="B9" s="56">
        <f>'Open Men''s'!R22</f>
        <v>0</v>
      </c>
      <c r="C9" s="56">
        <f>'Open Men''s'!S22</f>
        <v>0</v>
      </c>
      <c r="E9" s="56">
        <f>'Open Women''s'!L16</f>
        <v>1.2</v>
      </c>
      <c r="F9" s="56">
        <f>'Open Women''s'!M16</f>
        <v>0</v>
      </c>
      <c r="G9" s="56">
        <f>'Open Women''s'!N16</f>
        <v>0</v>
      </c>
    </row>
    <row r="10" spans="1:7" s="55" customFormat="1" ht="14.25">
      <c r="A10" s="56">
        <f>'Open Men''s'!Q23</f>
        <v>2.2</v>
      </c>
      <c r="B10" s="56">
        <f>'Open Men''s'!R23</f>
        <v>0</v>
      </c>
      <c r="C10" s="56">
        <f>'Open Men''s'!S23</f>
        <v>0</v>
      </c>
      <c r="E10" s="56">
        <f>'Open Women''s'!L17</f>
        <v>2.2</v>
      </c>
      <c r="F10" s="56">
        <f>'Open Women''s'!M17</f>
        <v>0</v>
      </c>
      <c r="G10" s="56">
        <f>'Open Women''s'!N17</f>
        <v>0</v>
      </c>
    </row>
    <row r="11" s="55" customFormat="1" ht="14.25"/>
    <row r="12" spans="1:8" s="55" customFormat="1" ht="15">
      <c r="A12" s="54" t="s">
        <v>146</v>
      </c>
      <c r="E12" s="54" t="s">
        <v>149</v>
      </c>
      <c r="H12" s="53"/>
    </row>
    <row r="13" spans="1:8" s="55" customFormat="1" ht="14.25">
      <c r="A13" s="55" t="s">
        <v>48</v>
      </c>
      <c r="B13" s="55" t="s">
        <v>23</v>
      </c>
      <c r="C13" s="55" t="s">
        <v>24</v>
      </c>
      <c r="E13" s="55" t="s">
        <v>48</v>
      </c>
      <c r="F13" s="55" t="s">
        <v>23</v>
      </c>
      <c r="G13" s="55" t="s">
        <v>24</v>
      </c>
      <c r="H13" s="53"/>
    </row>
    <row r="14" spans="1:8" s="55" customFormat="1" ht="14.25">
      <c r="A14" s="56" t="str">
        <f>'Under 18 Boys'!Q20</f>
        <v>Josef Jungwirth (Rag)</v>
      </c>
      <c r="B14" s="56">
        <f>'Under 18 Boys'!R20</f>
        <v>12.83</v>
      </c>
      <c r="C14" s="56">
        <f>'Under 18 Boys'!S20</f>
        <v>2</v>
      </c>
      <c r="E14" s="56" t="str">
        <f>'Under 18 Girls'!L14</f>
        <v>Liv Haysom (Piha)</v>
      </c>
      <c r="F14" s="56">
        <f>'Under 18 Girls'!M14</f>
        <v>8.87</v>
      </c>
      <c r="G14" s="56">
        <f>'Under 18 Girls'!N14</f>
        <v>3</v>
      </c>
      <c r="H14" s="53"/>
    </row>
    <row r="15" spans="1:8" s="55" customFormat="1" ht="14.25">
      <c r="A15" s="56" t="str">
        <f>'Under 18 Boys'!Q21</f>
        <v>Finn Vette (Gis)</v>
      </c>
      <c r="B15" s="56">
        <f>'Under 18 Boys'!R21</f>
        <v>14.67</v>
      </c>
      <c r="C15" s="56">
        <f>'Under 18 Boys'!S21</f>
        <v>1</v>
      </c>
      <c r="E15" s="56" t="str">
        <f>'Under 18 Girls'!L15</f>
        <v>Natasha Gouldsbury (Levin)</v>
      </c>
      <c r="F15" s="56">
        <f>'Under 18 Girls'!M15</f>
        <v>9.63</v>
      </c>
      <c r="G15" s="56">
        <f>'Under 18 Girls'!N15</f>
        <v>2</v>
      </c>
      <c r="H15" s="53"/>
    </row>
    <row r="16" spans="1:8" s="55" customFormat="1" ht="14.25">
      <c r="A16" s="56" t="str">
        <f>'Under 18 Boys'!Q22</f>
        <v>Ari D'Anvers (whngrei)</v>
      </c>
      <c r="B16" s="56">
        <f>'Under 18 Boys'!R22</f>
        <v>12.33</v>
      </c>
      <c r="C16" s="56">
        <f>'Under 18 Boys'!S22</f>
        <v>3</v>
      </c>
      <c r="E16" s="56" t="str">
        <f>'Under 18 Girls'!L16</f>
        <v>Ariana Shewry (Tara)</v>
      </c>
      <c r="F16" s="56">
        <f>'Under 18 Girls'!M16</f>
        <v>8.74</v>
      </c>
      <c r="G16" s="56">
        <f>'Under 18 Girls'!N16</f>
        <v>4</v>
      </c>
      <c r="H16" s="53"/>
    </row>
    <row r="17" spans="1:8" s="55" customFormat="1" ht="14.25">
      <c r="A17" s="56" t="str">
        <f>'Under 18 Boys'!Q23</f>
        <v>Kora Cooper (Rag)</v>
      </c>
      <c r="B17" s="56">
        <f>'Under 18 Boys'!R23</f>
        <v>12.27</v>
      </c>
      <c r="C17" s="56">
        <f>'Under 18 Boys'!S23</f>
        <v>4</v>
      </c>
      <c r="E17" s="56" t="str">
        <f>'Under 18 Girls'!L17</f>
        <v>Ava Henderson (Chch)</v>
      </c>
      <c r="F17" s="56">
        <f>'Under 18 Girls'!M17</f>
        <v>13.8</v>
      </c>
      <c r="G17" s="56">
        <f>'Under 18 Girls'!N17</f>
        <v>1</v>
      </c>
      <c r="H17" s="53"/>
    </row>
    <row r="18" s="55" customFormat="1" ht="14.25">
      <c r="H18" s="53"/>
    </row>
    <row r="19" spans="1:8" s="55" customFormat="1" ht="15">
      <c r="A19" s="54" t="s">
        <v>147</v>
      </c>
      <c r="E19" s="54" t="s">
        <v>148</v>
      </c>
      <c r="H19" s="53"/>
    </row>
    <row r="20" spans="1:8" s="55" customFormat="1" ht="14.25">
      <c r="A20" s="55" t="s">
        <v>48</v>
      </c>
      <c r="B20" s="55" t="s">
        <v>23</v>
      </c>
      <c r="C20" s="55" t="s">
        <v>24</v>
      </c>
      <c r="E20" s="55" t="s">
        <v>48</v>
      </c>
      <c r="F20" s="55" t="s">
        <v>23</v>
      </c>
      <c r="G20" s="55" t="s">
        <v>24</v>
      </c>
      <c r="H20" s="53"/>
    </row>
    <row r="21" spans="1:8" s="55" customFormat="1" ht="14.25">
      <c r="A21" s="56" t="str">
        <f>'Under 16 Boys'!Q20</f>
        <v>Tao Mouldey (Mnt)</v>
      </c>
      <c r="B21" s="56">
        <f>'Under 16 Boys'!R20</f>
        <v>15.5</v>
      </c>
      <c r="C21" s="56">
        <f>'Under 16 Boys'!S20</f>
        <v>1</v>
      </c>
      <c r="E21" s="56" t="str">
        <f>'Under 16 Girls'!L14</f>
        <v>Anna Brock (Mnt)</v>
      </c>
      <c r="F21" s="56">
        <f>'Under 16 Girls'!M14</f>
        <v>11.3</v>
      </c>
      <c r="G21" s="56">
        <f>'Under 16 Girls'!N14</f>
        <v>1</v>
      </c>
      <c r="H21" s="53"/>
    </row>
    <row r="22" spans="1:8" s="55" customFormat="1" ht="14.25">
      <c r="A22" s="56" t="str">
        <f>'Under 16 Boys'!Q21</f>
        <v>Jake Owen (Dun)</v>
      </c>
      <c r="B22" s="56">
        <f>'Under 16 Boys'!R21</f>
        <v>12.4</v>
      </c>
      <c r="C22" s="56">
        <f>'Under 16 Boys'!S21</f>
        <v>2</v>
      </c>
      <c r="E22" s="56" t="str">
        <f>'Under 16 Girls'!L15</f>
        <v>Sophia Brock (Mnt)</v>
      </c>
      <c r="F22" s="56">
        <f>'Under 16 Girls'!M15</f>
        <v>3.9</v>
      </c>
      <c r="G22" s="56">
        <f>'Under 16 Girls'!N15</f>
        <v>4</v>
      </c>
      <c r="H22" s="53"/>
    </row>
    <row r="23" spans="1:8" s="55" customFormat="1" ht="14.25">
      <c r="A23" s="56" t="str">
        <f>'Under 16 Boys'!Q22</f>
        <v>Beau woods (mnt)</v>
      </c>
      <c r="B23" s="56">
        <f>'Under 16 Boys'!R22</f>
        <v>11.3</v>
      </c>
      <c r="C23" s="56">
        <f>'Under 16 Boys'!S22</f>
        <v>4</v>
      </c>
      <c r="E23" s="56" t="str">
        <f>'Under 16 Girls'!L16</f>
        <v>Leia Millar (Piha)</v>
      </c>
      <c r="F23" s="56">
        <f>'Under 16 Girls'!M16</f>
        <v>9.26</v>
      </c>
      <c r="G23" s="56">
        <f>'Under 16 Girls'!N16</f>
        <v>2</v>
      </c>
      <c r="H23" s="53"/>
    </row>
    <row r="24" spans="1:8" s="55" customFormat="1" ht="14.25">
      <c r="A24" s="56" t="str">
        <f>'Under 16 Boys'!Q23</f>
        <v>Kalani Louis (Tara)</v>
      </c>
      <c r="B24" s="56">
        <f>'Under 16 Boys'!R23</f>
        <v>11.67</v>
      </c>
      <c r="C24" s="56">
        <f>'Under 16 Boys'!S23</f>
        <v>3</v>
      </c>
      <c r="E24" s="56" t="str">
        <f>'Under 16 Girls'!L17</f>
        <v>Asia Braithwaite (Gis)</v>
      </c>
      <c r="F24" s="56">
        <f>'Under 16 Girls'!M17</f>
        <v>8.37</v>
      </c>
      <c r="G24" s="56">
        <f>'Under 16 Girls'!N17</f>
        <v>3</v>
      </c>
      <c r="H24" s="53"/>
    </row>
    <row r="25" spans="1:8" s="55" customFormat="1" ht="14.25">
      <c r="A25" s="53"/>
      <c r="B25" s="53"/>
      <c r="C25" s="53"/>
      <c r="E25" s="53"/>
      <c r="F25" s="53"/>
      <c r="G25" s="53"/>
      <c r="H25" s="53"/>
    </row>
    <row r="26" spans="1:8" s="55" customFormat="1" ht="14.25">
      <c r="A26" s="53"/>
      <c r="B26" s="53"/>
      <c r="C26" s="53"/>
      <c r="E26" s="53"/>
      <c r="F26" s="53"/>
      <c r="G26" s="53"/>
      <c r="H26" s="53"/>
    </row>
    <row r="27" spans="1:8" s="55" customFormat="1" ht="14.25">
      <c r="A27" s="53"/>
      <c r="B27" s="53"/>
      <c r="C27" s="53"/>
      <c r="E27" s="53"/>
      <c r="F27" s="53"/>
      <c r="G27" s="53"/>
      <c r="H27" s="53"/>
    </row>
    <row r="28" spans="1:8" s="55" customFormat="1" ht="14.25">
      <c r="A28" s="53"/>
      <c r="B28" s="53"/>
      <c r="C28" s="53"/>
      <c r="E28" s="53"/>
      <c r="F28" s="53"/>
      <c r="G28" s="53"/>
      <c r="H28" s="53"/>
    </row>
    <row r="29" spans="1:8" s="55" customFormat="1" ht="14.25">
      <c r="A29" s="53"/>
      <c r="B29" s="53"/>
      <c r="C29" s="53"/>
      <c r="E29" s="53"/>
      <c r="F29" s="53"/>
      <c r="G29" s="53"/>
      <c r="H29" s="53"/>
    </row>
    <row r="30" spans="1:8" s="55" customFormat="1" ht="14.25">
      <c r="A30" s="53"/>
      <c r="B30" s="53"/>
      <c r="C30" s="53"/>
      <c r="E30" s="53"/>
      <c r="F30" s="53"/>
      <c r="G30" s="53"/>
      <c r="H30" s="53"/>
    </row>
    <row r="31" spans="1:8" s="55" customFormat="1" ht="14.25">
      <c r="A31" s="53"/>
      <c r="B31" s="53"/>
      <c r="C31" s="53"/>
      <c r="E31" s="53"/>
      <c r="F31" s="53"/>
      <c r="G31" s="53"/>
      <c r="H31" s="53"/>
    </row>
    <row r="32" spans="1:8" s="55" customFormat="1" ht="14.25">
      <c r="A32" s="53"/>
      <c r="B32" s="53"/>
      <c r="C32" s="53"/>
      <c r="E32" s="53"/>
      <c r="F32" s="53"/>
      <c r="G32" s="53"/>
      <c r="H32" s="53"/>
    </row>
    <row r="33" spans="1:8" s="55" customFormat="1" ht="14.25">
      <c r="A33" s="53"/>
      <c r="B33" s="53"/>
      <c r="C33" s="53"/>
      <c r="E33" s="53"/>
      <c r="F33" s="53"/>
      <c r="G33" s="53"/>
      <c r="H33" s="53"/>
    </row>
    <row r="34" spans="1:8" s="55" customFormat="1" ht="14.25">
      <c r="A34" s="53"/>
      <c r="B34" s="53"/>
      <c r="C34" s="53"/>
      <c r="E34" s="53"/>
      <c r="F34" s="53"/>
      <c r="G34" s="53"/>
      <c r="H34" s="53"/>
    </row>
    <row r="35" spans="1:8" s="55" customFormat="1" ht="14.25">
      <c r="A35" s="53"/>
      <c r="B35" s="53"/>
      <c r="C35" s="53"/>
      <c r="E35" s="53"/>
      <c r="F35" s="53"/>
      <c r="G35" s="53"/>
      <c r="H35" s="53"/>
    </row>
    <row r="36" spans="1:8" s="55" customFormat="1" ht="14.25">
      <c r="A36" s="53"/>
      <c r="B36" s="53"/>
      <c r="C36" s="53"/>
      <c r="E36" s="53"/>
      <c r="F36" s="53"/>
      <c r="G36" s="53"/>
      <c r="H36" s="53"/>
    </row>
    <row r="46" ht="12.75">
      <c r="D46" s="53" t="s">
        <v>49</v>
      </c>
    </row>
  </sheetData>
  <sheetProtection/>
  <printOptions/>
  <pageMargins left="0.7480314960629921" right="0.7480314960629921" top="0.984251968503937" bottom="0.984251968503937" header="0.5118110236220472" footer="0.5118110236220472"/>
  <pageSetup blackAndWhite="1" horizontalDpi="180" verticalDpi="180" orientation="portrait" paperSize="9" scale="88" r:id="rId1"/>
  <headerFooter alignWithMargins="0"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Q49"/>
  <sheetViews>
    <sheetView showGridLines="0" view="pageBreakPreview" zoomScale="75" zoomScaleSheetLayoutView="75" zoomScalePageLayoutView="0" workbookViewId="0" topLeftCell="A1">
      <pane ySplit="4" topLeftCell="A5" activePane="bottomLeft" state="frozen"/>
      <selection pane="topLeft" activeCell="L15" sqref="L15"/>
      <selection pane="bottomLeft" activeCell="S10" sqref="S10"/>
    </sheetView>
  </sheetViews>
  <sheetFormatPr defaultColWidth="9.00390625" defaultRowHeight="12.75"/>
  <cols>
    <col min="1" max="1" width="1.37890625" style="29" customWidth="1"/>
    <col min="2" max="2" width="3.875" style="29" customWidth="1"/>
    <col min="3" max="5" width="6.625" style="29" customWidth="1"/>
    <col min="6" max="8" width="6.625" style="50" customWidth="1"/>
    <col min="9" max="9" width="2.25390625" style="29" customWidth="1"/>
    <col min="10" max="10" width="3.875" style="29" customWidth="1"/>
    <col min="11" max="13" width="6.625" style="29" customWidth="1"/>
    <col min="14" max="16" width="6.625" style="45" customWidth="1"/>
    <col min="17" max="17" width="1.37890625" style="29" customWidth="1"/>
    <col min="18" max="16384" width="9.125" style="29" customWidth="1"/>
  </cols>
  <sheetData>
    <row r="2" spans="2:16" ht="15.75">
      <c r="B2" s="124" t="s">
        <v>30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2:17" ht="5.25" customHeight="1">
      <c r="B3" s="30"/>
      <c r="C3" s="31"/>
      <c r="D3" s="31"/>
      <c r="E3" s="31"/>
      <c r="F3" s="46"/>
      <c r="G3" s="46"/>
      <c r="H3" s="46"/>
      <c r="I3" s="32"/>
      <c r="J3" s="30"/>
      <c r="K3" s="31"/>
      <c r="L3" s="31"/>
      <c r="M3" s="31"/>
      <c r="N3" s="41"/>
      <c r="O3" s="41"/>
      <c r="P3" s="41"/>
      <c r="Q3" s="33"/>
    </row>
    <row r="4" spans="2:16" ht="14.25">
      <c r="B4" s="34" t="s">
        <v>26</v>
      </c>
      <c r="C4" s="34" t="s">
        <v>31</v>
      </c>
      <c r="D4" s="34" t="s">
        <v>32</v>
      </c>
      <c r="E4" s="34" t="s">
        <v>33</v>
      </c>
      <c r="F4" s="47" t="s">
        <v>1</v>
      </c>
      <c r="G4" s="47" t="s">
        <v>34</v>
      </c>
      <c r="H4" s="48" t="s">
        <v>35</v>
      </c>
      <c r="I4" s="35"/>
      <c r="J4" s="36" t="s">
        <v>26</v>
      </c>
      <c r="K4" s="34" t="s">
        <v>31</v>
      </c>
      <c r="L4" s="34" t="s">
        <v>32</v>
      </c>
      <c r="M4" s="34" t="s">
        <v>33</v>
      </c>
      <c r="N4" s="42" t="s">
        <v>1</v>
      </c>
      <c r="O4" s="42" t="s">
        <v>34</v>
      </c>
      <c r="P4" s="43" t="s">
        <v>35</v>
      </c>
    </row>
    <row r="5" spans="2:16" ht="14.25">
      <c r="B5" s="37">
        <v>1</v>
      </c>
      <c r="C5" s="35">
        <v>250</v>
      </c>
      <c r="D5" s="35">
        <v>500</v>
      </c>
      <c r="E5" s="35">
        <v>750</v>
      </c>
      <c r="F5" s="49">
        <v>1500</v>
      </c>
      <c r="G5" s="49">
        <v>2000</v>
      </c>
      <c r="H5" s="49">
        <v>2500</v>
      </c>
      <c r="I5" s="35"/>
      <c r="J5" s="37">
        <v>46</v>
      </c>
      <c r="K5" s="35">
        <v>64</v>
      </c>
      <c r="L5" s="35">
        <v>128</v>
      </c>
      <c r="M5" s="35">
        <v>192</v>
      </c>
      <c r="N5" s="44">
        <v>383</v>
      </c>
      <c r="O5" s="44">
        <v>510</v>
      </c>
      <c r="P5" s="44">
        <v>638</v>
      </c>
    </row>
    <row r="6" spans="2:16" ht="14.25">
      <c r="B6" s="37">
        <v>2</v>
      </c>
      <c r="C6" s="35">
        <v>215</v>
      </c>
      <c r="D6" s="35">
        <v>430</v>
      </c>
      <c r="E6" s="35">
        <v>645</v>
      </c>
      <c r="F6" s="49">
        <v>1290</v>
      </c>
      <c r="G6" s="49">
        <v>1720</v>
      </c>
      <c r="H6" s="49">
        <v>2150</v>
      </c>
      <c r="I6" s="35"/>
      <c r="J6" s="37">
        <v>47</v>
      </c>
      <c r="K6" s="35">
        <v>63</v>
      </c>
      <c r="L6" s="35">
        <v>125</v>
      </c>
      <c r="M6" s="35">
        <v>188</v>
      </c>
      <c r="N6" s="44">
        <v>375</v>
      </c>
      <c r="O6" s="44">
        <v>500</v>
      </c>
      <c r="P6" s="44">
        <v>625</v>
      </c>
    </row>
    <row r="7" spans="2:16" ht="14.25">
      <c r="B7" s="37">
        <v>3</v>
      </c>
      <c r="C7" s="35">
        <v>183</v>
      </c>
      <c r="D7" s="35">
        <v>365</v>
      </c>
      <c r="E7" s="35">
        <v>548</v>
      </c>
      <c r="F7" s="49">
        <v>1095</v>
      </c>
      <c r="G7" s="49">
        <v>1460</v>
      </c>
      <c r="H7" s="49">
        <v>1825</v>
      </c>
      <c r="I7" s="35"/>
      <c r="J7" s="37">
        <v>48</v>
      </c>
      <c r="K7" s="35">
        <v>61</v>
      </c>
      <c r="L7" s="35">
        <v>123</v>
      </c>
      <c r="M7" s="35">
        <v>184</v>
      </c>
      <c r="N7" s="44">
        <v>368</v>
      </c>
      <c r="O7" s="44">
        <v>490</v>
      </c>
      <c r="P7" s="44">
        <v>613</v>
      </c>
    </row>
    <row r="8" spans="2:16" ht="14.25">
      <c r="B8" s="37">
        <v>4</v>
      </c>
      <c r="C8" s="35">
        <v>168</v>
      </c>
      <c r="D8" s="35">
        <v>335</v>
      </c>
      <c r="E8" s="35">
        <v>503</v>
      </c>
      <c r="F8" s="49">
        <v>1005</v>
      </c>
      <c r="G8" s="49">
        <v>1340</v>
      </c>
      <c r="H8" s="49">
        <v>1675</v>
      </c>
      <c r="I8" s="35"/>
      <c r="J8" s="37">
        <v>49</v>
      </c>
      <c r="K8" s="35">
        <v>60</v>
      </c>
      <c r="L8" s="35">
        <v>120</v>
      </c>
      <c r="M8" s="35">
        <v>180</v>
      </c>
      <c r="N8" s="44">
        <v>360</v>
      </c>
      <c r="O8" s="44">
        <v>480</v>
      </c>
      <c r="P8" s="44">
        <v>600</v>
      </c>
    </row>
    <row r="9" spans="2:16" ht="14.25">
      <c r="B9" s="37">
        <v>5</v>
      </c>
      <c r="C9" s="35">
        <v>153</v>
      </c>
      <c r="D9" s="35">
        <v>305</v>
      </c>
      <c r="E9" s="35">
        <v>458</v>
      </c>
      <c r="F9" s="49">
        <v>915</v>
      </c>
      <c r="G9" s="49">
        <v>1220</v>
      </c>
      <c r="H9" s="49">
        <v>1525</v>
      </c>
      <c r="I9" s="35"/>
      <c r="J9" s="37">
        <v>50</v>
      </c>
      <c r="K9" s="35">
        <v>59</v>
      </c>
      <c r="L9" s="35">
        <v>118</v>
      </c>
      <c r="M9" s="35">
        <v>177</v>
      </c>
      <c r="N9" s="44">
        <v>353</v>
      </c>
      <c r="O9" s="44">
        <v>470</v>
      </c>
      <c r="P9" s="44">
        <v>588</v>
      </c>
    </row>
    <row r="10" spans="2:16" ht="14.25">
      <c r="B10" s="37">
        <v>6</v>
      </c>
      <c r="C10" s="35">
        <v>146</v>
      </c>
      <c r="D10" s="35">
        <v>292</v>
      </c>
      <c r="E10" s="35">
        <v>438</v>
      </c>
      <c r="F10" s="49">
        <v>875</v>
      </c>
      <c r="G10" s="49">
        <v>1166</v>
      </c>
      <c r="H10" s="49">
        <v>1458</v>
      </c>
      <c r="I10" s="35"/>
      <c r="J10" s="37">
        <v>51</v>
      </c>
      <c r="K10" s="35">
        <v>58</v>
      </c>
      <c r="L10" s="35">
        <v>115</v>
      </c>
      <c r="M10" s="35">
        <v>173</v>
      </c>
      <c r="N10" s="44">
        <v>345</v>
      </c>
      <c r="O10" s="44">
        <v>460</v>
      </c>
      <c r="P10" s="44">
        <v>575</v>
      </c>
    </row>
    <row r="11" spans="2:16" ht="14.25">
      <c r="B11" s="37">
        <v>7</v>
      </c>
      <c r="C11" s="35">
        <v>139</v>
      </c>
      <c r="D11" s="35">
        <v>278</v>
      </c>
      <c r="E11" s="35">
        <v>417</v>
      </c>
      <c r="F11" s="49">
        <v>833</v>
      </c>
      <c r="G11" s="49">
        <v>1110</v>
      </c>
      <c r="H11" s="49">
        <v>1388</v>
      </c>
      <c r="I11" s="35"/>
      <c r="J11" s="37">
        <v>52</v>
      </c>
      <c r="K11" s="35">
        <v>56</v>
      </c>
      <c r="L11" s="35">
        <v>113</v>
      </c>
      <c r="M11" s="35">
        <v>169</v>
      </c>
      <c r="N11" s="44">
        <v>338</v>
      </c>
      <c r="O11" s="44">
        <v>450</v>
      </c>
      <c r="P11" s="44">
        <v>563</v>
      </c>
    </row>
    <row r="12" spans="2:16" ht="14.25">
      <c r="B12" s="37">
        <v>8</v>
      </c>
      <c r="C12" s="35">
        <v>132</v>
      </c>
      <c r="D12" s="35">
        <v>264</v>
      </c>
      <c r="E12" s="35">
        <v>396</v>
      </c>
      <c r="F12" s="49">
        <v>792</v>
      </c>
      <c r="G12" s="49">
        <v>1056</v>
      </c>
      <c r="H12" s="49">
        <v>1320</v>
      </c>
      <c r="I12" s="35"/>
      <c r="J12" s="37">
        <v>53</v>
      </c>
      <c r="K12" s="35">
        <v>55</v>
      </c>
      <c r="L12" s="35">
        <v>110</v>
      </c>
      <c r="M12" s="35">
        <v>165</v>
      </c>
      <c r="N12" s="44">
        <v>330</v>
      </c>
      <c r="O12" s="44">
        <v>440</v>
      </c>
      <c r="P12" s="44">
        <v>550</v>
      </c>
    </row>
    <row r="13" spans="2:16" ht="14.25">
      <c r="B13" s="37">
        <v>9</v>
      </c>
      <c r="C13" s="35">
        <v>125</v>
      </c>
      <c r="D13" s="35">
        <v>250</v>
      </c>
      <c r="E13" s="35">
        <v>375</v>
      </c>
      <c r="F13" s="49">
        <v>750</v>
      </c>
      <c r="G13" s="49">
        <v>1000</v>
      </c>
      <c r="H13" s="49">
        <v>1250</v>
      </c>
      <c r="I13" s="35"/>
      <c r="J13" s="37">
        <v>54</v>
      </c>
      <c r="K13" s="35">
        <v>54</v>
      </c>
      <c r="L13" s="35">
        <v>108</v>
      </c>
      <c r="M13" s="35">
        <v>162</v>
      </c>
      <c r="N13" s="44">
        <v>323</v>
      </c>
      <c r="O13" s="44">
        <v>430</v>
      </c>
      <c r="P13" s="44">
        <v>538</v>
      </c>
    </row>
    <row r="14" spans="2:16" ht="14.25">
      <c r="B14" s="37">
        <v>10</v>
      </c>
      <c r="C14" s="35">
        <v>122</v>
      </c>
      <c r="D14" s="35">
        <v>244</v>
      </c>
      <c r="E14" s="35">
        <v>366</v>
      </c>
      <c r="F14" s="49">
        <v>732</v>
      </c>
      <c r="G14" s="49">
        <v>976</v>
      </c>
      <c r="H14" s="49">
        <v>1220</v>
      </c>
      <c r="I14" s="35"/>
      <c r="J14" s="37">
        <v>55</v>
      </c>
      <c r="K14" s="35">
        <v>53</v>
      </c>
      <c r="L14" s="35">
        <v>105</v>
      </c>
      <c r="M14" s="35">
        <v>158</v>
      </c>
      <c r="N14" s="44">
        <v>315</v>
      </c>
      <c r="O14" s="44">
        <v>420</v>
      </c>
      <c r="P14" s="44">
        <v>525</v>
      </c>
    </row>
    <row r="15" spans="2:16" ht="14.25">
      <c r="B15" s="37">
        <v>11</v>
      </c>
      <c r="C15" s="35">
        <v>119</v>
      </c>
      <c r="D15" s="35">
        <v>238</v>
      </c>
      <c r="E15" s="35">
        <v>357</v>
      </c>
      <c r="F15" s="49">
        <v>713</v>
      </c>
      <c r="G15" s="49">
        <v>950</v>
      </c>
      <c r="H15" s="49">
        <v>1188</v>
      </c>
      <c r="I15" s="35"/>
      <c r="J15" s="37">
        <v>56</v>
      </c>
      <c r="K15" s="35">
        <v>51</v>
      </c>
      <c r="L15" s="35">
        <v>103</v>
      </c>
      <c r="M15" s="35">
        <v>154</v>
      </c>
      <c r="N15" s="44">
        <v>308</v>
      </c>
      <c r="O15" s="44">
        <v>410</v>
      </c>
      <c r="P15" s="44">
        <v>513</v>
      </c>
    </row>
    <row r="16" spans="2:16" ht="14.25">
      <c r="B16" s="37">
        <v>12</v>
      </c>
      <c r="C16" s="35">
        <v>116</v>
      </c>
      <c r="D16" s="35">
        <v>231</v>
      </c>
      <c r="E16" s="35">
        <v>347</v>
      </c>
      <c r="F16" s="49">
        <v>693</v>
      </c>
      <c r="G16" s="49">
        <v>924</v>
      </c>
      <c r="H16" s="49">
        <v>1155</v>
      </c>
      <c r="I16" s="35"/>
      <c r="J16" s="37">
        <v>57</v>
      </c>
      <c r="K16" s="35">
        <v>50</v>
      </c>
      <c r="L16" s="35">
        <v>100</v>
      </c>
      <c r="M16" s="35">
        <v>150</v>
      </c>
      <c r="N16" s="44">
        <v>300</v>
      </c>
      <c r="O16" s="44">
        <v>400</v>
      </c>
      <c r="P16" s="44">
        <v>500</v>
      </c>
    </row>
    <row r="17" spans="2:16" ht="14.25">
      <c r="B17" s="37">
        <v>13</v>
      </c>
      <c r="C17" s="35">
        <v>113</v>
      </c>
      <c r="D17" s="35">
        <v>225</v>
      </c>
      <c r="E17" s="35">
        <v>338</v>
      </c>
      <c r="F17" s="49">
        <v>675</v>
      </c>
      <c r="G17" s="49">
        <v>900</v>
      </c>
      <c r="H17" s="49">
        <v>1125</v>
      </c>
      <c r="I17" s="35"/>
      <c r="J17" s="37">
        <v>58</v>
      </c>
      <c r="K17" s="35">
        <v>49</v>
      </c>
      <c r="L17" s="35">
        <v>98</v>
      </c>
      <c r="M17" s="35">
        <v>147</v>
      </c>
      <c r="N17" s="44">
        <v>293</v>
      </c>
      <c r="O17" s="44">
        <v>390</v>
      </c>
      <c r="P17" s="44">
        <v>488</v>
      </c>
    </row>
    <row r="18" spans="2:16" ht="14.25">
      <c r="B18" s="37">
        <v>14</v>
      </c>
      <c r="C18" s="35">
        <v>110</v>
      </c>
      <c r="D18" s="35">
        <v>219</v>
      </c>
      <c r="E18" s="35">
        <v>329</v>
      </c>
      <c r="F18" s="49">
        <v>657</v>
      </c>
      <c r="G18" s="49">
        <v>876</v>
      </c>
      <c r="H18" s="49">
        <v>1095</v>
      </c>
      <c r="I18" s="35"/>
      <c r="J18" s="37">
        <v>59</v>
      </c>
      <c r="K18" s="35">
        <v>48</v>
      </c>
      <c r="L18" s="35">
        <v>95</v>
      </c>
      <c r="M18" s="35">
        <v>143</v>
      </c>
      <c r="N18" s="44">
        <v>285</v>
      </c>
      <c r="O18" s="44">
        <v>380</v>
      </c>
      <c r="P18" s="44">
        <v>475</v>
      </c>
    </row>
    <row r="19" spans="2:16" ht="14.25">
      <c r="B19" s="37">
        <v>15</v>
      </c>
      <c r="C19" s="35">
        <v>106</v>
      </c>
      <c r="D19" s="35">
        <v>213</v>
      </c>
      <c r="E19" s="35">
        <v>319</v>
      </c>
      <c r="F19" s="49">
        <v>638</v>
      </c>
      <c r="G19" s="49">
        <v>850</v>
      </c>
      <c r="H19" s="49">
        <v>1063</v>
      </c>
      <c r="I19" s="35"/>
      <c r="J19" s="37">
        <v>60</v>
      </c>
      <c r="K19" s="35">
        <v>46</v>
      </c>
      <c r="L19" s="35">
        <v>93</v>
      </c>
      <c r="M19" s="35">
        <v>139</v>
      </c>
      <c r="N19" s="44">
        <v>278</v>
      </c>
      <c r="O19" s="44">
        <v>370</v>
      </c>
      <c r="P19" s="44">
        <v>463</v>
      </c>
    </row>
    <row r="20" spans="2:16" ht="14.25">
      <c r="B20" s="37">
        <v>16</v>
      </c>
      <c r="C20" s="35">
        <v>103</v>
      </c>
      <c r="D20" s="35">
        <v>207</v>
      </c>
      <c r="E20" s="35">
        <v>310</v>
      </c>
      <c r="F20" s="49">
        <v>620</v>
      </c>
      <c r="G20" s="49">
        <v>826</v>
      </c>
      <c r="H20" s="49">
        <v>1033</v>
      </c>
      <c r="I20" s="35"/>
      <c r="J20" s="37">
        <v>61</v>
      </c>
      <c r="K20" s="35">
        <v>45</v>
      </c>
      <c r="L20" s="35">
        <v>90</v>
      </c>
      <c r="M20" s="35">
        <v>135</v>
      </c>
      <c r="N20" s="44">
        <v>270</v>
      </c>
      <c r="O20" s="44">
        <v>360</v>
      </c>
      <c r="P20" s="44">
        <v>450</v>
      </c>
    </row>
    <row r="21" spans="2:16" ht="14.25">
      <c r="B21" s="37">
        <v>17</v>
      </c>
      <c r="C21" s="35">
        <v>100</v>
      </c>
      <c r="D21" s="35">
        <v>200</v>
      </c>
      <c r="E21" s="35">
        <v>300</v>
      </c>
      <c r="F21" s="49">
        <v>600</v>
      </c>
      <c r="G21" s="49">
        <v>800</v>
      </c>
      <c r="H21" s="49">
        <v>1000</v>
      </c>
      <c r="I21" s="35"/>
      <c r="J21" s="37">
        <v>62</v>
      </c>
      <c r="K21" s="35">
        <v>44</v>
      </c>
      <c r="L21" s="35">
        <v>88</v>
      </c>
      <c r="M21" s="35">
        <v>132</v>
      </c>
      <c r="N21" s="44">
        <v>263</v>
      </c>
      <c r="O21" s="44">
        <v>350</v>
      </c>
      <c r="P21" s="44">
        <v>438</v>
      </c>
    </row>
    <row r="22" spans="2:16" ht="14.25">
      <c r="B22" s="37">
        <v>18</v>
      </c>
      <c r="C22" s="35">
        <v>99</v>
      </c>
      <c r="D22" s="35">
        <v>198</v>
      </c>
      <c r="E22" s="35">
        <v>297</v>
      </c>
      <c r="F22" s="49">
        <v>593</v>
      </c>
      <c r="G22" s="49">
        <v>790</v>
      </c>
      <c r="H22" s="49">
        <v>988</v>
      </c>
      <c r="I22" s="35"/>
      <c r="J22" s="37">
        <v>63</v>
      </c>
      <c r="K22" s="35">
        <v>43</v>
      </c>
      <c r="L22" s="35">
        <v>85</v>
      </c>
      <c r="M22" s="35">
        <v>128</v>
      </c>
      <c r="N22" s="44">
        <v>255</v>
      </c>
      <c r="O22" s="44">
        <v>340</v>
      </c>
      <c r="P22" s="44">
        <v>425</v>
      </c>
    </row>
    <row r="23" spans="2:16" ht="14.25">
      <c r="B23" s="37">
        <v>19</v>
      </c>
      <c r="C23" s="35">
        <v>98</v>
      </c>
      <c r="D23" s="35">
        <v>195</v>
      </c>
      <c r="E23" s="35">
        <v>293</v>
      </c>
      <c r="F23" s="49">
        <v>585</v>
      </c>
      <c r="G23" s="49">
        <v>780</v>
      </c>
      <c r="H23" s="49">
        <v>975</v>
      </c>
      <c r="I23" s="35"/>
      <c r="J23" s="37">
        <v>64</v>
      </c>
      <c r="K23" s="35">
        <v>41</v>
      </c>
      <c r="L23" s="35">
        <v>83</v>
      </c>
      <c r="M23" s="35">
        <v>124</v>
      </c>
      <c r="N23" s="44">
        <v>248</v>
      </c>
      <c r="O23" s="44">
        <v>330</v>
      </c>
      <c r="P23" s="44">
        <v>413</v>
      </c>
    </row>
    <row r="24" spans="2:16" ht="14.25">
      <c r="B24" s="37">
        <v>20</v>
      </c>
      <c r="C24" s="35">
        <v>96</v>
      </c>
      <c r="D24" s="35">
        <v>193</v>
      </c>
      <c r="E24" s="35">
        <v>289</v>
      </c>
      <c r="F24" s="49">
        <v>578</v>
      </c>
      <c r="G24" s="49">
        <v>770</v>
      </c>
      <c r="H24" s="49">
        <v>963</v>
      </c>
      <c r="I24" s="35"/>
      <c r="J24" s="37">
        <v>65</v>
      </c>
      <c r="K24" s="35">
        <v>40</v>
      </c>
      <c r="L24" s="35">
        <v>80</v>
      </c>
      <c r="M24" s="35">
        <v>120</v>
      </c>
      <c r="N24" s="44">
        <v>240</v>
      </c>
      <c r="O24" s="44">
        <v>320</v>
      </c>
      <c r="P24" s="44">
        <v>400</v>
      </c>
    </row>
    <row r="25" spans="2:16" ht="14.25">
      <c r="B25" s="37">
        <v>21</v>
      </c>
      <c r="C25" s="35">
        <v>95</v>
      </c>
      <c r="D25" s="35">
        <v>190</v>
      </c>
      <c r="E25" s="35">
        <v>285</v>
      </c>
      <c r="F25" s="49">
        <v>570</v>
      </c>
      <c r="G25" s="49">
        <v>760</v>
      </c>
      <c r="H25" s="49">
        <v>950</v>
      </c>
      <c r="I25" s="35"/>
      <c r="J25" s="37">
        <v>66</v>
      </c>
      <c r="K25" s="35">
        <v>40</v>
      </c>
      <c r="L25" s="35">
        <v>79</v>
      </c>
      <c r="M25" s="35">
        <v>119</v>
      </c>
      <c r="N25" s="44">
        <v>237</v>
      </c>
      <c r="O25" s="44">
        <v>316</v>
      </c>
      <c r="P25" s="44">
        <v>395</v>
      </c>
    </row>
    <row r="26" spans="2:16" ht="14.25">
      <c r="B26" s="37">
        <v>22</v>
      </c>
      <c r="C26" s="35">
        <v>94</v>
      </c>
      <c r="D26" s="35">
        <v>188</v>
      </c>
      <c r="E26" s="35">
        <v>282</v>
      </c>
      <c r="F26" s="49">
        <v>563</v>
      </c>
      <c r="G26" s="49">
        <v>750</v>
      </c>
      <c r="H26" s="49">
        <v>938</v>
      </c>
      <c r="I26" s="35"/>
      <c r="J26" s="37">
        <v>67</v>
      </c>
      <c r="K26" s="35">
        <v>39</v>
      </c>
      <c r="L26" s="35">
        <v>78</v>
      </c>
      <c r="M26" s="35">
        <v>117</v>
      </c>
      <c r="N26" s="44">
        <v>234</v>
      </c>
      <c r="O26" s="44">
        <v>312</v>
      </c>
      <c r="P26" s="44">
        <v>390</v>
      </c>
    </row>
    <row r="27" spans="2:16" ht="14.25">
      <c r="B27" s="37">
        <v>23</v>
      </c>
      <c r="C27" s="35">
        <v>93</v>
      </c>
      <c r="D27" s="35">
        <v>185</v>
      </c>
      <c r="E27" s="35">
        <v>278</v>
      </c>
      <c r="F27" s="49">
        <v>555</v>
      </c>
      <c r="G27" s="49">
        <v>740</v>
      </c>
      <c r="H27" s="49">
        <v>925</v>
      </c>
      <c r="I27" s="35"/>
      <c r="J27" s="37">
        <v>68</v>
      </c>
      <c r="K27" s="35">
        <v>39</v>
      </c>
      <c r="L27" s="35">
        <v>77</v>
      </c>
      <c r="M27" s="35">
        <v>116</v>
      </c>
      <c r="N27" s="44">
        <v>231</v>
      </c>
      <c r="O27" s="44">
        <v>308</v>
      </c>
      <c r="P27" s="44">
        <v>385</v>
      </c>
    </row>
    <row r="28" spans="2:16" ht="14.25">
      <c r="B28" s="37">
        <v>24</v>
      </c>
      <c r="C28" s="35">
        <v>91</v>
      </c>
      <c r="D28" s="35">
        <v>183</v>
      </c>
      <c r="E28" s="35">
        <v>274</v>
      </c>
      <c r="F28" s="49">
        <v>548</v>
      </c>
      <c r="G28" s="49">
        <v>730</v>
      </c>
      <c r="H28" s="49">
        <v>913</v>
      </c>
      <c r="I28" s="35"/>
      <c r="J28" s="37">
        <v>69</v>
      </c>
      <c r="K28" s="35">
        <v>38</v>
      </c>
      <c r="L28" s="35">
        <v>76</v>
      </c>
      <c r="M28" s="35">
        <v>114</v>
      </c>
      <c r="N28" s="44">
        <v>228</v>
      </c>
      <c r="O28" s="44">
        <v>304</v>
      </c>
      <c r="P28" s="44">
        <v>380</v>
      </c>
    </row>
    <row r="29" spans="2:16" ht="14.25">
      <c r="B29" s="37">
        <v>25</v>
      </c>
      <c r="C29" s="35">
        <v>90</v>
      </c>
      <c r="D29" s="35">
        <v>180</v>
      </c>
      <c r="E29" s="35">
        <v>270</v>
      </c>
      <c r="F29" s="49">
        <v>540</v>
      </c>
      <c r="G29" s="49">
        <v>720</v>
      </c>
      <c r="H29" s="49">
        <v>900</v>
      </c>
      <c r="I29" s="35"/>
      <c r="J29" s="37">
        <v>70</v>
      </c>
      <c r="K29" s="35">
        <v>38</v>
      </c>
      <c r="L29" s="35">
        <v>75</v>
      </c>
      <c r="M29" s="35">
        <v>113</v>
      </c>
      <c r="N29" s="44">
        <v>225</v>
      </c>
      <c r="O29" s="44">
        <v>300</v>
      </c>
      <c r="P29" s="44">
        <v>375</v>
      </c>
    </row>
    <row r="30" spans="2:16" ht="14.25">
      <c r="B30" s="37">
        <v>26</v>
      </c>
      <c r="C30" s="35">
        <v>89</v>
      </c>
      <c r="D30" s="35">
        <v>178</v>
      </c>
      <c r="E30" s="35">
        <v>267</v>
      </c>
      <c r="F30" s="49">
        <v>533</v>
      </c>
      <c r="G30" s="49">
        <v>710</v>
      </c>
      <c r="H30" s="49">
        <v>888</v>
      </c>
      <c r="I30" s="35"/>
      <c r="J30" s="37">
        <v>71</v>
      </c>
      <c r="K30" s="35">
        <v>37</v>
      </c>
      <c r="L30" s="35">
        <v>74</v>
      </c>
      <c r="M30" s="35">
        <v>111</v>
      </c>
      <c r="N30" s="44">
        <v>222</v>
      </c>
      <c r="O30" s="44">
        <v>296</v>
      </c>
      <c r="P30" s="44">
        <v>370</v>
      </c>
    </row>
    <row r="31" spans="2:16" ht="14.25">
      <c r="B31" s="37">
        <v>27</v>
      </c>
      <c r="C31" s="35">
        <v>88</v>
      </c>
      <c r="D31" s="35">
        <v>175</v>
      </c>
      <c r="E31" s="35">
        <v>263</v>
      </c>
      <c r="F31" s="49">
        <v>525</v>
      </c>
      <c r="G31" s="49">
        <v>700</v>
      </c>
      <c r="H31" s="49">
        <v>875</v>
      </c>
      <c r="I31" s="35"/>
      <c r="J31" s="37">
        <v>72</v>
      </c>
      <c r="K31" s="35">
        <v>37</v>
      </c>
      <c r="L31" s="35">
        <v>73</v>
      </c>
      <c r="M31" s="35">
        <v>110</v>
      </c>
      <c r="N31" s="44">
        <v>219</v>
      </c>
      <c r="O31" s="44">
        <v>292</v>
      </c>
      <c r="P31" s="44">
        <v>365</v>
      </c>
    </row>
    <row r="32" spans="2:16" ht="14.25">
      <c r="B32" s="37">
        <v>28</v>
      </c>
      <c r="C32" s="35">
        <v>86</v>
      </c>
      <c r="D32" s="35">
        <v>173</v>
      </c>
      <c r="E32" s="35">
        <v>259</v>
      </c>
      <c r="F32" s="49">
        <v>518</v>
      </c>
      <c r="G32" s="49">
        <v>690</v>
      </c>
      <c r="H32" s="49">
        <v>863</v>
      </c>
      <c r="I32" s="35"/>
      <c r="J32" s="37">
        <v>73</v>
      </c>
      <c r="K32" s="35">
        <v>36</v>
      </c>
      <c r="L32" s="35">
        <v>72</v>
      </c>
      <c r="M32" s="35">
        <v>108</v>
      </c>
      <c r="N32" s="44">
        <v>216</v>
      </c>
      <c r="O32" s="44">
        <v>288</v>
      </c>
      <c r="P32" s="44">
        <v>360</v>
      </c>
    </row>
    <row r="33" spans="2:16" ht="14.25">
      <c r="B33" s="37">
        <v>29</v>
      </c>
      <c r="C33" s="35">
        <v>85</v>
      </c>
      <c r="D33" s="35">
        <v>170</v>
      </c>
      <c r="E33" s="35">
        <v>255</v>
      </c>
      <c r="F33" s="49">
        <v>510</v>
      </c>
      <c r="G33" s="49">
        <v>680</v>
      </c>
      <c r="H33" s="49">
        <v>850</v>
      </c>
      <c r="I33" s="35"/>
      <c r="J33" s="37">
        <v>74</v>
      </c>
      <c r="K33" s="35">
        <v>36</v>
      </c>
      <c r="L33" s="35">
        <v>71</v>
      </c>
      <c r="M33" s="35">
        <v>107</v>
      </c>
      <c r="N33" s="44">
        <v>213</v>
      </c>
      <c r="O33" s="44">
        <v>284</v>
      </c>
      <c r="P33" s="44">
        <v>355</v>
      </c>
    </row>
    <row r="34" spans="2:16" ht="14.25">
      <c r="B34" s="37">
        <v>30</v>
      </c>
      <c r="C34" s="35">
        <v>84</v>
      </c>
      <c r="D34" s="35">
        <v>168</v>
      </c>
      <c r="E34" s="35">
        <v>252</v>
      </c>
      <c r="F34" s="49">
        <v>503</v>
      </c>
      <c r="G34" s="49">
        <v>670</v>
      </c>
      <c r="H34" s="49">
        <v>838</v>
      </c>
      <c r="I34" s="35"/>
      <c r="J34" s="37">
        <v>75</v>
      </c>
      <c r="K34" s="35">
        <v>35</v>
      </c>
      <c r="L34" s="35">
        <v>70</v>
      </c>
      <c r="M34" s="35">
        <v>105</v>
      </c>
      <c r="N34" s="44">
        <v>210</v>
      </c>
      <c r="O34" s="44">
        <v>280</v>
      </c>
      <c r="P34" s="44">
        <v>350</v>
      </c>
    </row>
    <row r="35" spans="2:16" ht="14.25">
      <c r="B35" s="37">
        <v>31</v>
      </c>
      <c r="C35" s="35">
        <v>83</v>
      </c>
      <c r="D35" s="35">
        <v>165</v>
      </c>
      <c r="E35" s="35">
        <v>248</v>
      </c>
      <c r="F35" s="49">
        <v>495</v>
      </c>
      <c r="G35" s="49">
        <v>660</v>
      </c>
      <c r="H35" s="49">
        <v>825</v>
      </c>
      <c r="I35" s="35"/>
      <c r="J35" s="37">
        <v>76</v>
      </c>
      <c r="K35" s="35">
        <v>35</v>
      </c>
      <c r="L35" s="35">
        <v>69</v>
      </c>
      <c r="M35" s="35">
        <v>104</v>
      </c>
      <c r="N35" s="44">
        <v>207</v>
      </c>
      <c r="O35" s="44">
        <v>276</v>
      </c>
      <c r="P35" s="44">
        <v>345</v>
      </c>
    </row>
    <row r="36" spans="2:16" ht="14.25">
      <c r="B36" s="37">
        <v>32</v>
      </c>
      <c r="C36" s="35">
        <v>81</v>
      </c>
      <c r="D36" s="35">
        <v>163</v>
      </c>
      <c r="E36" s="35">
        <v>244</v>
      </c>
      <c r="F36" s="49">
        <v>488</v>
      </c>
      <c r="G36" s="49">
        <v>650</v>
      </c>
      <c r="H36" s="49">
        <v>813</v>
      </c>
      <c r="I36" s="35"/>
      <c r="J36" s="37">
        <v>77</v>
      </c>
      <c r="K36" s="35">
        <v>34</v>
      </c>
      <c r="L36" s="35">
        <v>68</v>
      </c>
      <c r="M36" s="35">
        <v>102</v>
      </c>
      <c r="N36" s="44">
        <v>204</v>
      </c>
      <c r="O36" s="44">
        <v>272</v>
      </c>
      <c r="P36" s="44">
        <v>340</v>
      </c>
    </row>
    <row r="37" spans="2:16" ht="14.25">
      <c r="B37" s="37">
        <v>33</v>
      </c>
      <c r="C37" s="35">
        <v>80</v>
      </c>
      <c r="D37" s="35">
        <v>160</v>
      </c>
      <c r="E37" s="35">
        <v>240</v>
      </c>
      <c r="F37" s="49">
        <v>480</v>
      </c>
      <c r="G37" s="49">
        <v>640</v>
      </c>
      <c r="H37" s="49">
        <v>800</v>
      </c>
      <c r="I37" s="35"/>
      <c r="J37" s="37">
        <v>78</v>
      </c>
      <c r="K37" s="35">
        <v>34</v>
      </c>
      <c r="L37" s="35">
        <v>67</v>
      </c>
      <c r="M37" s="35">
        <v>101</v>
      </c>
      <c r="N37" s="44">
        <v>201</v>
      </c>
      <c r="O37" s="44">
        <v>268</v>
      </c>
      <c r="P37" s="44">
        <v>335</v>
      </c>
    </row>
    <row r="38" spans="2:16" ht="14.25">
      <c r="B38" s="37">
        <v>34</v>
      </c>
      <c r="C38" s="35">
        <v>79</v>
      </c>
      <c r="D38" s="35">
        <v>158</v>
      </c>
      <c r="E38" s="35">
        <v>237</v>
      </c>
      <c r="F38" s="49">
        <v>473</v>
      </c>
      <c r="G38" s="49">
        <v>630</v>
      </c>
      <c r="H38" s="49">
        <v>788</v>
      </c>
      <c r="I38" s="35"/>
      <c r="J38" s="37">
        <v>79</v>
      </c>
      <c r="K38" s="35">
        <v>33</v>
      </c>
      <c r="L38" s="35">
        <v>66</v>
      </c>
      <c r="M38" s="35">
        <v>99</v>
      </c>
      <c r="N38" s="44">
        <v>198</v>
      </c>
      <c r="O38" s="44">
        <v>264</v>
      </c>
      <c r="P38" s="44">
        <v>330</v>
      </c>
    </row>
    <row r="39" spans="2:16" ht="14.25">
      <c r="B39" s="37">
        <v>35</v>
      </c>
      <c r="C39" s="35">
        <v>78</v>
      </c>
      <c r="D39" s="35">
        <v>155</v>
      </c>
      <c r="E39" s="35">
        <v>233</v>
      </c>
      <c r="F39" s="49">
        <v>465</v>
      </c>
      <c r="G39" s="49">
        <v>620</v>
      </c>
      <c r="H39" s="49">
        <v>775</v>
      </c>
      <c r="I39" s="35"/>
      <c r="J39" s="37">
        <v>80</v>
      </c>
      <c r="K39" s="35">
        <v>33</v>
      </c>
      <c r="L39" s="35">
        <v>65</v>
      </c>
      <c r="M39" s="35">
        <v>98</v>
      </c>
      <c r="N39" s="44">
        <v>195</v>
      </c>
      <c r="O39" s="44">
        <v>260</v>
      </c>
      <c r="P39" s="44">
        <v>325</v>
      </c>
    </row>
    <row r="40" spans="2:16" ht="14.25">
      <c r="B40" s="37">
        <v>36</v>
      </c>
      <c r="C40" s="35">
        <v>76</v>
      </c>
      <c r="D40" s="35">
        <v>153</v>
      </c>
      <c r="E40" s="35">
        <v>229</v>
      </c>
      <c r="F40" s="49">
        <v>458</v>
      </c>
      <c r="G40" s="49">
        <v>610</v>
      </c>
      <c r="H40" s="49">
        <v>763</v>
      </c>
      <c r="I40" s="35"/>
      <c r="J40" s="37">
        <v>81</v>
      </c>
      <c r="K40" s="35">
        <v>32</v>
      </c>
      <c r="L40" s="35">
        <v>64</v>
      </c>
      <c r="M40" s="35">
        <v>96</v>
      </c>
      <c r="N40" s="44">
        <v>192</v>
      </c>
      <c r="O40" s="44">
        <v>256</v>
      </c>
      <c r="P40" s="44">
        <v>320</v>
      </c>
    </row>
    <row r="41" spans="2:16" ht="14.25">
      <c r="B41" s="37">
        <v>37</v>
      </c>
      <c r="C41" s="35">
        <v>75</v>
      </c>
      <c r="D41" s="35">
        <v>150</v>
      </c>
      <c r="E41" s="35">
        <v>225</v>
      </c>
      <c r="F41" s="49">
        <v>450</v>
      </c>
      <c r="G41" s="49">
        <v>600</v>
      </c>
      <c r="H41" s="49">
        <v>750</v>
      </c>
      <c r="I41" s="35"/>
      <c r="J41" s="37">
        <v>82</v>
      </c>
      <c r="K41" s="35">
        <v>32</v>
      </c>
      <c r="L41" s="35">
        <v>63</v>
      </c>
      <c r="M41" s="35">
        <v>95</v>
      </c>
      <c r="N41" s="44">
        <v>189</v>
      </c>
      <c r="O41" s="44">
        <v>252</v>
      </c>
      <c r="P41" s="44">
        <v>315</v>
      </c>
    </row>
    <row r="42" spans="2:16" ht="14.25">
      <c r="B42" s="37">
        <v>38</v>
      </c>
      <c r="C42" s="35">
        <v>74</v>
      </c>
      <c r="D42" s="35">
        <v>148</v>
      </c>
      <c r="E42" s="35">
        <v>222</v>
      </c>
      <c r="F42" s="49">
        <v>443</v>
      </c>
      <c r="G42" s="49">
        <v>590</v>
      </c>
      <c r="H42" s="49">
        <v>738</v>
      </c>
      <c r="I42" s="35"/>
      <c r="J42" s="37">
        <v>83</v>
      </c>
      <c r="K42" s="35">
        <v>31</v>
      </c>
      <c r="L42" s="35">
        <v>62</v>
      </c>
      <c r="M42" s="35">
        <v>93</v>
      </c>
      <c r="N42" s="44">
        <v>186</v>
      </c>
      <c r="O42" s="44">
        <v>248</v>
      </c>
      <c r="P42" s="44">
        <v>310</v>
      </c>
    </row>
    <row r="43" spans="2:16" ht="14.25">
      <c r="B43" s="37">
        <v>39</v>
      </c>
      <c r="C43" s="35">
        <v>73</v>
      </c>
      <c r="D43" s="35">
        <v>145</v>
      </c>
      <c r="E43" s="35">
        <v>218</v>
      </c>
      <c r="F43" s="49">
        <v>435</v>
      </c>
      <c r="G43" s="49">
        <v>580</v>
      </c>
      <c r="H43" s="49">
        <v>725</v>
      </c>
      <c r="I43" s="35"/>
      <c r="J43" s="37">
        <v>84</v>
      </c>
      <c r="K43" s="35">
        <v>31</v>
      </c>
      <c r="L43" s="35">
        <v>61</v>
      </c>
      <c r="M43" s="35">
        <v>92</v>
      </c>
      <c r="N43" s="44">
        <v>183</v>
      </c>
      <c r="O43" s="44">
        <v>244</v>
      </c>
      <c r="P43" s="44">
        <v>305</v>
      </c>
    </row>
    <row r="44" spans="2:16" ht="14.25">
      <c r="B44" s="37">
        <v>40</v>
      </c>
      <c r="C44" s="35">
        <v>71</v>
      </c>
      <c r="D44" s="35">
        <v>143</v>
      </c>
      <c r="E44" s="35">
        <v>214</v>
      </c>
      <c r="F44" s="49">
        <v>428</v>
      </c>
      <c r="G44" s="49">
        <v>570</v>
      </c>
      <c r="H44" s="49">
        <v>713</v>
      </c>
      <c r="I44" s="35"/>
      <c r="J44" s="37">
        <v>85</v>
      </c>
      <c r="K44" s="35">
        <v>30</v>
      </c>
      <c r="L44" s="35">
        <v>60</v>
      </c>
      <c r="M44" s="35">
        <v>90</v>
      </c>
      <c r="N44" s="44">
        <v>180</v>
      </c>
      <c r="O44" s="44">
        <v>240</v>
      </c>
      <c r="P44" s="44">
        <v>300</v>
      </c>
    </row>
    <row r="45" spans="2:16" ht="14.25">
      <c r="B45" s="37">
        <v>41</v>
      </c>
      <c r="C45" s="35">
        <v>70</v>
      </c>
      <c r="D45" s="35">
        <v>140</v>
      </c>
      <c r="E45" s="35">
        <v>210</v>
      </c>
      <c r="F45" s="49">
        <v>420</v>
      </c>
      <c r="G45" s="49">
        <v>560</v>
      </c>
      <c r="H45" s="49">
        <v>700</v>
      </c>
      <c r="I45" s="35"/>
      <c r="J45" s="37">
        <v>86</v>
      </c>
      <c r="K45" s="35">
        <v>30</v>
      </c>
      <c r="L45" s="35">
        <v>59</v>
      </c>
      <c r="M45" s="35">
        <v>89</v>
      </c>
      <c r="N45" s="44">
        <v>177</v>
      </c>
      <c r="O45" s="44">
        <v>236</v>
      </c>
      <c r="P45" s="44">
        <v>295</v>
      </c>
    </row>
    <row r="46" spans="2:16" ht="14.25">
      <c r="B46" s="37">
        <v>42</v>
      </c>
      <c r="C46" s="35">
        <v>69</v>
      </c>
      <c r="D46" s="35">
        <v>138</v>
      </c>
      <c r="E46" s="35">
        <v>207</v>
      </c>
      <c r="F46" s="49">
        <v>413</v>
      </c>
      <c r="G46" s="49">
        <v>550</v>
      </c>
      <c r="H46" s="49">
        <v>688</v>
      </c>
      <c r="I46" s="35"/>
      <c r="J46" s="37">
        <v>87</v>
      </c>
      <c r="K46" s="35">
        <v>29</v>
      </c>
      <c r="L46" s="35">
        <v>58</v>
      </c>
      <c r="M46" s="35">
        <v>87</v>
      </c>
      <c r="N46" s="44">
        <v>174</v>
      </c>
      <c r="O46" s="44">
        <v>232</v>
      </c>
      <c r="P46" s="44">
        <v>290</v>
      </c>
    </row>
    <row r="47" spans="2:16" ht="14.25">
      <c r="B47" s="37">
        <v>43</v>
      </c>
      <c r="C47" s="35">
        <v>68</v>
      </c>
      <c r="D47" s="35">
        <v>135</v>
      </c>
      <c r="E47" s="35">
        <v>203</v>
      </c>
      <c r="F47" s="49">
        <v>405</v>
      </c>
      <c r="G47" s="49">
        <v>540</v>
      </c>
      <c r="H47" s="49">
        <v>675</v>
      </c>
      <c r="I47" s="35"/>
      <c r="J47" s="37">
        <v>88</v>
      </c>
      <c r="K47" s="35">
        <v>29</v>
      </c>
      <c r="L47" s="35">
        <v>57</v>
      </c>
      <c r="M47" s="35">
        <v>86</v>
      </c>
      <c r="N47" s="44">
        <v>171</v>
      </c>
      <c r="O47" s="44">
        <v>228</v>
      </c>
      <c r="P47" s="44">
        <v>285</v>
      </c>
    </row>
    <row r="48" spans="2:16" ht="14.25">
      <c r="B48" s="37">
        <v>44</v>
      </c>
      <c r="C48" s="35">
        <v>66</v>
      </c>
      <c r="D48" s="35">
        <v>133</v>
      </c>
      <c r="E48" s="35">
        <v>199</v>
      </c>
      <c r="F48" s="49">
        <v>398</v>
      </c>
      <c r="G48" s="49">
        <v>530</v>
      </c>
      <c r="H48" s="49">
        <v>663</v>
      </c>
      <c r="I48" s="35"/>
      <c r="J48" s="37">
        <v>89</v>
      </c>
      <c r="K48" s="35">
        <v>28</v>
      </c>
      <c r="L48" s="35">
        <v>56</v>
      </c>
      <c r="M48" s="35">
        <v>84</v>
      </c>
      <c r="N48" s="44">
        <v>168</v>
      </c>
      <c r="O48" s="44">
        <v>224</v>
      </c>
      <c r="P48" s="44">
        <v>280</v>
      </c>
    </row>
    <row r="49" spans="2:16" ht="14.25">
      <c r="B49" s="34">
        <v>45</v>
      </c>
      <c r="C49" s="38">
        <v>65</v>
      </c>
      <c r="D49" s="38">
        <v>130</v>
      </c>
      <c r="E49" s="38">
        <v>195</v>
      </c>
      <c r="F49" s="47">
        <v>390</v>
      </c>
      <c r="G49" s="47">
        <v>520</v>
      </c>
      <c r="H49" s="48">
        <v>650</v>
      </c>
      <c r="I49" s="35"/>
      <c r="J49" s="36">
        <v>90</v>
      </c>
      <c r="K49" s="38">
        <v>28</v>
      </c>
      <c r="L49" s="38">
        <v>55</v>
      </c>
      <c r="M49" s="38">
        <v>83</v>
      </c>
      <c r="N49" s="42">
        <v>165</v>
      </c>
      <c r="O49" s="42">
        <v>220</v>
      </c>
      <c r="P49" s="42">
        <v>275</v>
      </c>
    </row>
    <row r="50" ht="6" customHeight="1"/>
  </sheetData>
  <sheetProtection/>
  <mergeCells count="1">
    <mergeCell ref="B2:P2"/>
  </mergeCells>
  <printOptions/>
  <pageMargins left="0.75" right="0.75" top="1" bottom="1" header="0.5" footer="0.5"/>
  <pageSetup horizontalDpi="300" verticalDpi="300" orientation="portrait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9"/>
  <sheetViews>
    <sheetView showGridLines="0" view="pageBreakPreview" zoomScaleSheetLayoutView="100" zoomScalePageLayoutView="0" workbookViewId="0" topLeftCell="A1">
      <selection activeCell="L15" sqref="L15"/>
    </sheetView>
  </sheetViews>
  <sheetFormatPr defaultColWidth="9.00390625" defaultRowHeight="12.75"/>
  <cols>
    <col min="1" max="1" width="16.625" style="62" customWidth="1"/>
    <col min="2" max="2" width="7.875" style="63" customWidth="1"/>
    <col min="3" max="6" width="9.125" style="62" customWidth="1"/>
    <col min="7" max="7" width="5.00390625" style="62" customWidth="1"/>
    <col min="8" max="8" width="9.125" style="62" customWidth="1"/>
    <col min="9" max="9" width="11.875" style="62" bestFit="1" customWidth="1"/>
    <col min="10" max="11" width="9.125" style="62" customWidth="1"/>
    <col min="12" max="12" width="10.00390625" style="62" customWidth="1"/>
    <col min="13" max="16384" width="9.125" style="62" customWidth="1"/>
  </cols>
  <sheetData>
    <row r="1" spans="4:9" ht="18">
      <c r="D1" s="101" t="s">
        <v>36</v>
      </c>
      <c r="F1" s="101"/>
      <c r="G1" s="100"/>
      <c r="I1" s="99"/>
    </row>
    <row r="2" spans="5:8" ht="16.5" customHeight="1">
      <c r="E2" s="98" t="s">
        <v>37</v>
      </c>
      <c r="F2" s="98"/>
      <c r="G2" s="97"/>
      <c r="H2" s="74" t="s">
        <v>67</v>
      </c>
    </row>
    <row r="3" spans="5:12" ht="12.75">
      <c r="E3" s="98" t="s">
        <v>38</v>
      </c>
      <c r="F3" s="98"/>
      <c r="G3" s="97"/>
      <c r="H3" s="81" t="s">
        <v>55</v>
      </c>
      <c r="I3" s="81" t="s">
        <v>66</v>
      </c>
      <c r="J3" s="80" t="s">
        <v>54</v>
      </c>
      <c r="K3" s="79" t="s">
        <v>53</v>
      </c>
      <c r="L3" s="78"/>
    </row>
    <row r="4" spans="5:12" ht="20.25" customHeight="1">
      <c r="E4" s="96" t="s">
        <v>39</v>
      </c>
      <c r="F4" s="96"/>
      <c r="H4" s="77" t="s">
        <v>65</v>
      </c>
      <c r="I4" s="62">
        <f>D6-500</f>
        <v>700</v>
      </c>
      <c r="J4" s="62">
        <f>I4*G5</f>
        <v>140</v>
      </c>
      <c r="K4" s="89">
        <f>SUM(I4-J4)</f>
        <v>560</v>
      </c>
      <c r="L4" s="74" t="s">
        <v>51</v>
      </c>
    </row>
    <row r="5" spans="1:12" ht="15.75" thickBot="1">
      <c r="A5" s="74"/>
      <c r="B5" s="64" t="s">
        <v>40</v>
      </c>
      <c r="C5" s="64" t="s">
        <v>33</v>
      </c>
      <c r="D5" s="64" t="s">
        <v>1</v>
      </c>
      <c r="E5" s="64" t="s">
        <v>34</v>
      </c>
      <c r="F5" s="64" t="s">
        <v>35</v>
      </c>
      <c r="G5" s="95">
        <v>0.2</v>
      </c>
      <c r="H5" s="73"/>
      <c r="I5" s="73"/>
      <c r="J5" s="73"/>
      <c r="K5" s="72">
        <v>500</v>
      </c>
      <c r="L5" s="71" t="s">
        <v>50</v>
      </c>
    </row>
    <row r="6" spans="2:12" ht="15" thickTop="1">
      <c r="B6" s="69">
        <v>1</v>
      </c>
      <c r="C6" s="69">
        <v>700</v>
      </c>
      <c r="D6" s="69">
        <v>1200</v>
      </c>
      <c r="E6" s="70">
        <v>2100</v>
      </c>
      <c r="F6" s="69">
        <v>3000</v>
      </c>
      <c r="K6" s="89"/>
      <c r="L6" s="74"/>
    </row>
    <row r="7" spans="2:12" ht="14.25">
      <c r="B7" s="69">
        <v>2</v>
      </c>
      <c r="C7" s="69">
        <v>400</v>
      </c>
      <c r="D7" s="69">
        <v>700</v>
      </c>
      <c r="E7" s="70">
        <v>1050</v>
      </c>
      <c r="F7" s="69">
        <v>1400</v>
      </c>
      <c r="H7" s="77" t="s">
        <v>64</v>
      </c>
      <c r="I7" s="62">
        <f>D7-500</f>
        <v>200</v>
      </c>
      <c r="J7" s="62">
        <f>I7*G5</f>
        <v>40</v>
      </c>
      <c r="K7" s="89">
        <f>SUM(I7-J7)</f>
        <v>160</v>
      </c>
      <c r="L7" s="74" t="s">
        <v>51</v>
      </c>
    </row>
    <row r="8" spans="2:12" ht="15" thickBot="1">
      <c r="B8" s="69">
        <v>3</v>
      </c>
      <c r="C8" s="69">
        <v>300</v>
      </c>
      <c r="D8" s="69">
        <v>500</v>
      </c>
      <c r="E8" s="70">
        <v>750</v>
      </c>
      <c r="F8" s="69">
        <v>1000</v>
      </c>
      <c r="H8" s="94"/>
      <c r="I8" s="73"/>
      <c r="J8" s="73"/>
      <c r="K8" s="72">
        <v>500</v>
      </c>
      <c r="L8" s="71" t="s">
        <v>50</v>
      </c>
    </row>
    <row r="9" spans="2:12" ht="15" thickTop="1">
      <c r="B9" s="69">
        <v>4</v>
      </c>
      <c r="C9" s="69">
        <v>200</v>
      </c>
      <c r="D9" s="69">
        <v>300</v>
      </c>
      <c r="E9" s="70">
        <v>450</v>
      </c>
      <c r="F9" s="69">
        <v>600</v>
      </c>
      <c r="H9" s="77"/>
      <c r="K9" s="89"/>
      <c r="L9" s="74"/>
    </row>
    <row r="10" spans="2:12" ht="14.25">
      <c r="B10" s="69">
        <v>5</v>
      </c>
      <c r="C10" s="69">
        <v>110</v>
      </c>
      <c r="D10" s="69">
        <v>180</v>
      </c>
      <c r="E10" s="70">
        <v>270</v>
      </c>
      <c r="F10" s="69">
        <v>360</v>
      </c>
      <c r="H10" s="77" t="s">
        <v>56</v>
      </c>
      <c r="I10" s="76">
        <f>E6-500</f>
        <v>1600</v>
      </c>
      <c r="J10" s="62">
        <f>I10*G5</f>
        <v>320</v>
      </c>
      <c r="K10" s="75">
        <f>SUM(I10-J10)</f>
        <v>1280</v>
      </c>
      <c r="L10" s="74" t="s">
        <v>51</v>
      </c>
    </row>
    <row r="11" spans="2:12" ht="15" thickBot="1">
      <c r="B11" s="69" t="s">
        <v>41</v>
      </c>
      <c r="C11" s="69">
        <v>110</v>
      </c>
      <c r="D11" s="69">
        <v>180</v>
      </c>
      <c r="E11" s="70">
        <v>270</v>
      </c>
      <c r="F11" s="69">
        <v>360</v>
      </c>
      <c r="H11" s="73"/>
      <c r="I11" s="73"/>
      <c r="J11" s="73"/>
      <c r="K11" s="72">
        <v>500</v>
      </c>
      <c r="L11" s="71" t="s">
        <v>50</v>
      </c>
    </row>
    <row r="12" spans="2:12" ht="15" thickTop="1">
      <c r="B12" s="69">
        <v>7</v>
      </c>
      <c r="C12" s="69">
        <v>90</v>
      </c>
      <c r="D12" s="69">
        <v>150</v>
      </c>
      <c r="E12" s="70">
        <v>225</v>
      </c>
      <c r="F12" s="69">
        <v>300</v>
      </c>
      <c r="K12" s="89"/>
      <c r="L12" s="74"/>
    </row>
    <row r="13" spans="2:12" ht="14.25">
      <c r="B13" s="69" t="s">
        <v>41</v>
      </c>
      <c r="C13" s="69">
        <v>90</v>
      </c>
      <c r="D13" s="69">
        <v>150</v>
      </c>
      <c r="E13" s="70">
        <v>225</v>
      </c>
      <c r="F13" s="69">
        <v>300</v>
      </c>
      <c r="H13" s="77" t="s">
        <v>63</v>
      </c>
      <c r="I13" s="76">
        <f>E7-500</f>
        <v>550</v>
      </c>
      <c r="J13" s="62">
        <f>I13*G5</f>
        <v>110</v>
      </c>
      <c r="K13" s="75">
        <f>SUM(I13-J13)</f>
        <v>440</v>
      </c>
      <c r="L13" s="74" t="s">
        <v>51</v>
      </c>
    </row>
    <row r="14" spans="2:12" ht="15" thickBot="1">
      <c r="B14" s="69">
        <v>9</v>
      </c>
      <c r="C14" s="69"/>
      <c r="D14" s="69">
        <v>100</v>
      </c>
      <c r="E14" s="70">
        <v>150</v>
      </c>
      <c r="F14" s="69">
        <v>200</v>
      </c>
      <c r="H14" s="73"/>
      <c r="I14" s="73"/>
      <c r="J14" s="73"/>
      <c r="K14" s="72">
        <v>500</v>
      </c>
      <c r="L14" s="71" t="s">
        <v>50</v>
      </c>
    </row>
    <row r="15" spans="2:11" ht="15" thickTop="1">
      <c r="B15" s="69" t="s">
        <v>41</v>
      </c>
      <c r="C15" s="69"/>
      <c r="D15" s="69">
        <v>100</v>
      </c>
      <c r="E15" s="70">
        <v>150</v>
      </c>
      <c r="F15" s="69">
        <v>200</v>
      </c>
      <c r="K15" s="92"/>
    </row>
    <row r="16" spans="2:12" ht="14.25">
      <c r="B16" s="69" t="s">
        <v>41</v>
      </c>
      <c r="C16" s="69"/>
      <c r="D16" s="69">
        <v>100</v>
      </c>
      <c r="E16" s="70">
        <v>150</v>
      </c>
      <c r="F16" s="69">
        <v>200</v>
      </c>
      <c r="H16" s="77" t="s">
        <v>62</v>
      </c>
      <c r="I16" s="76">
        <f>E8-500</f>
        <v>250</v>
      </c>
      <c r="J16" s="62">
        <f>I16*G5</f>
        <v>50</v>
      </c>
      <c r="K16" s="75">
        <f>SUM(I16-J16)</f>
        <v>200</v>
      </c>
      <c r="L16" s="74" t="s">
        <v>51</v>
      </c>
    </row>
    <row r="17" spans="2:12" ht="15" thickBot="1">
      <c r="B17" s="69" t="s">
        <v>41</v>
      </c>
      <c r="C17" s="69"/>
      <c r="D17" s="69">
        <v>100</v>
      </c>
      <c r="E17" s="70">
        <v>150</v>
      </c>
      <c r="F17" s="69">
        <v>200</v>
      </c>
      <c r="H17" s="73"/>
      <c r="I17" s="73"/>
      <c r="J17" s="73"/>
      <c r="K17" s="72">
        <v>500</v>
      </c>
      <c r="L17" s="71" t="s">
        <v>50</v>
      </c>
    </row>
    <row r="18" spans="2:11" ht="15" thickTop="1">
      <c r="B18" s="69">
        <v>13</v>
      </c>
      <c r="C18" s="69"/>
      <c r="D18" s="69">
        <v>60</v>
      </c>
      <c r="E18" s="70">
        <v>90</v>
      </c>
      <c r="F18" s="69">
        <v>120</v>
      </c>
      <c r="K18" s="92"/>
    </row>
    <row r="19" spans="2:12" ht="14.25">
      <c r="B19" s="69" t="s">
        <v>41</v>
      </c>
      <c r="C19" s="69"/>
      <c r="D19" s="69">
        <v>60</v>
      </c>
      <c r="E19" s="70">
        <v>90</v>
      </c>
      <c r="F19" s="69">
        <v>120</v>
      </c>
      <c r="H19" s="77" t="s">
        <v>61</v>
      </c>
      <c r="I19" s="76">
        <f>E9-500</f>
        <v>-50</v>
      </c>
      <c r="J19" s="62">
        <f>I19*G5</f>
        <v>-10</v>
      </c>
      <c r="K19" s="75">
        <f>SUM(I19-J19)</f>
        <v>-40</v>
      </c>
      <c r="L19" s="74" t="s">
        <v>51</v>
      </c>
    </row>
    <row r="20" spans="2:12" ht="15" thickBot="1">
      <c r="B20" s="69" t="s">
        <v>41</v>
      </c>
      <c r="C20" s="69"/>
      <c r="D20" s="69">
        <v>60</v>
      </c>
      <c r="E20" s="70">
        <v>90</v>
      </c>
      <c r="F20" s="69">
        <v>120</v>
      </c>
      <c r="H20" s="73"/>
      <c r="I20" s="73"/>
      <c r="J20" s="73"/>
      <c r="K20" s="72">
        <v>500</v>
      </c>
      <c r="L20" s="71" t="s">
        <v>50</v>
      </c>
    </row>
    <row r="21" spans="2:10" ht="15" thickTop="1">
      <c r="B21" s="69" t="s">
        <v>41</v>
      </c>
      <c r="C21" s="69"/>
      <c r="D21" s="69">
        <v>60</v>
      </c>
      <c r="E21" s="70">
        <v>90</v>
      </c>
      <c r="F21" s="69">
        <v>120</v>
      </c>
      <c r="J21" s="93"/>
    </row>
    <row r="22" spans="2:12" ht="14.25">
      <c r="B22" s="69">
        <v>17</v>
      </c>
      <c r="C22" s="69"/>
      <c r="D22" s="69"/>
      <c r="E22" s="70"/>
      <c r="F22" s="69"/>
      <c r="H22" s="77" t="s">
        <v>52</v>
      </c>
      <c r="I22" s="76">
        <f>F6-500</f>
        <v>2500</v>
      </c>
      <c r="J22" s="62">
        <f>I22*G5</f>
        <v>500</v>
      </c>
      <c r="K22" s="75">
        <f>SUM(I22-J22)</f>
        <v>2000</v>
      </c>
      <c r="L22" s="74" t="s">
        <v>51</v>
      </c>
    </row>
    <row r="23" spans="2:12" ht="15" thickBot="1">
      <c r="B23" s="69" t="s">
        <v>41</v>
      </c>
      <c r="C23" s="69"/>
      <c r="D23" s="69"/>
      <c r="E23" s="70"/>
      <c r="F23" s="69"/>
      <c r="H23" s="73"/>
      <c r="I23" s="73"/>
      <c r="J23" s="73"/>
      <c r="K23" s="72">
        <v>500</v>
      </c>
      <c r="L23" s="71" t="s">
        <v>50</v>
      </c>
    </row>
    <row r="24" spans="2:12" ht="15" thickTop="1">
      <c r="B24" s="69" t="s">
        <v>41</v>
      </c>
      <c r="C24" s="69"/>
      <c r="D24" s="69"/>
      <c r="E24" s="70"/>
      <c r="F24" s="69"/>
      <c r="K24" s="89"/>
      <c r="L24" s="74"/>
    </row>
    <row r="25" spans="2:12" ht="14.25">
      <c r="B25" s="69" t="s">
        <v>41</v>
      </c>
      <c r="C25" s="69"/>
      <c r="D25" s="69"/>
      <c r="E25" s="70"/>
      <c r="F25" s="69"/>
      <c r="H25" s="77" t="s">
        <v>60</v>
      </c>
      <c r="I25" s="76">
        <f>F7-500</f>
        <v>900</v>
      </c>
      <c r="J25" s="62">
        <f>I25*G5</f>
        <v>180</v>
      </c>
      <c r="K25" s="75">
        <f>SUM(I25-J25)</f>
        <v>720</v>
      </c>
      <c r="L25" s="74" t="s">
        <v>51</v>
      </c>
    </row>
    <row r="26" spans="2:12" ht="15" thickBot="1">
      <c r="B26" s="69" t="s">
        <v>41</v>
      </c>
      <c r="C26" s="69"/>
      <c r="D26" s="69"/>
      <c r="E26" s="70"/>
      <c r="F26" s="69"/>
      <c r="H26" s="73"/>
      <c r="I26" s="73"/>
      <c r="J26" s="73"/>
      <c r="K26" s="72">
        <v>500</v>
      </c>
      <c r="L26" s="71" t="s">
        <v>50</v>
      </c>
    </row>
    <row r="27" spans="2:11" ht="15" thickTop="1">
      <c r="B27" s="69" t="s">
        <v>41</v>
      </c>
      <c r="C27" s="69"/>
      <c r="D27" s="69"/>
      <c r="E27" s="70"/>
      <c r="F27" s="69"/>
      <c r="K27" s="92"/>
    </row>
    <row r="28" spans="2:12" ht="14.25">
      <c r="B28" s="69" t="s">
        <v>41</v>
      </c>
      <c r="C28" s="69"/>
      <c r="D28" s="69"/>
      <c r="E28" s="70"/>
      <c r="F28" s="69"/>
      <c r="H28" s="77" t="s">
        <v>59</v>
      </c>
      <c r="I28" s="76">
        <f>F8-500</f>
        <v>500</v>
      </c>
      <c r="J28" s="62">
        <f>I28*G5</f>
        <v>100</v>
      </c>
      <c r="K28" s="75">
        <f>SUM(I28-J28)</f>
        <v>400</v>
      </c>
      <c r="L28" s="74" t="s">
        <v>51</v>
      </c>
    </row>
    <row r="29" spans="2:12" ht="15" thickBot="1">
      <c r="B29" s="69" t="s">
        <v>41</v>
      </c>
      <c r="C29" s="69"/>
      <c r="D29" s="69"/>
      <c r="E29" s="70"/>
      <c r="F29" s="69"/>
      <c r="H29" s="73"/>
      <c r="I29" s="73"/>
      <c r="J29" s="73"/>
      <c r="K29" s="72">
        <v>500</v>
      </c>
      <c r="L29" s="71" t="s">
        <v>50</v>
      </c>
    </row>
    <row r="30" spans="2:11" ht="15" thickTop="1">
      <c r="B30" s="69"/>
      <c r="C30" s="69"/>
      <c r="D30" s="69"/>
      <c r="E30" s="69"/>
      <c r="F30" s="69"/>
      <c r="K30" s="92"/>
    </row>
    <row r="31" spans="1:12" ht="15">
      <c r="A31" s="66" t="s">
        <v>42</v>
      </c>
      <c r="B31" s="64"/>
      <c r="C31" s="64">
        <f>SUM(C6:C30)</f>
        <v>2000</v>
      </c>
      <c r="D31" s="64">
        <f>SUM(D6:D21)</f>
        <v>4000</v>
      </c>
      <c r="E31" s="65">
        <f>SUM(E6:E30)</f>
        <v>6300</v>
      </c>
      <c r="F31" s="64">
        <f>SUM(F6:F30)</f>
        <v>8600</v>
      </c>
      <c r="H31" s="77" t="s">
        <v>58</v>
      </c>
      <c r="I31" s="76">
        <f>F9-500</f>
        <v>100</v>
      </c>
      <c r="J31" s="62">
        <f>I31*G5</f>
        <v>20</v>
      </c>
      <c r="K31" s="75">
        <f>SUM(I31-J31)</f>
        <v>80</v>
      </c>
      <c r="L31" s="74" t="s">
        <v>51</v>
      </c>
    </row>
    <row r="32" spans="1:12" ht="13.5" thickBot="1">
      <c r="A32" s="91"/>
      <c r="H32" s="73"/>
      <c r="I32" s="73"/>
      <c r="J32" s="73"/>
      <c r="K32" s="72">
        <v>500</v>
      </c>
      <c r="L32" s="71" t="s">
        <v>50</v>
      </c>
    </row>
    <row r="33" spans="3:7" ht="18.75" thickTop="1">
      <c r="C33" s="86"/>
      <c r="D33" s="87" t="s">
        <v>57</v>
      </c>
      <c r="E33" s="86"/>
      <c r="F33" s="86"/>
      <c r="G33" s="86"/>
    </row>
    <row r="34" spans="2:12" ht="15">
      <c r="B34" s="64" t="s">
        <v>40</v>
      </c>
      <c r="C34" s="64" t="s">
        <v>33</v>
      </c>
      <c r="D34" s="64" t="s">
        <v>1</v>
      </c>
      <c r="E34" s="64" t="s">
        <v>34</v>
      </c>
      <c r="F34" s="64" t="s">
        <v>35</v>
      </c>
      <c r="H34" s="90" t="s">
        <v>57</v>
      </c>
      <c r="I34" s="83"/>
      <c r="J34" s="83"/>
      <c r="K34" s="83"/>
      <c r="L34" s="83"/>
    </row>
    <row r="35" spans="2:12" ht="14.25">
      <c r="B35" s="69">
        <v>1</v>
      </c>
      <c r="C35" s="69">
        <v>250</v>
      </c>
      <c r="D35" s="69">
        <v>400</v>
      </c>
      <c r="E35" s="69">
        <v>680</v>
      </c>
      <c r="F35" s="69">
        <v>1000</v>
      </c>
      <c r="H35" s="81" t="s">
        <v>55</v>
      </c>
      <c r="I35" s="81" t="s">
        <v>47</v>
      </c>
      <c r="J35" s="80" t="s">
        <v>54</v>
      </c>
      <c r="K35" s="79" t="s">
        <v>53</v>
      </c>
      <c r="L35" s="78"/>
    </row>
    <row r="36" spans="2:12" ht="14.25">
      <c r="B36" s="69">
        <v>2</v>
      </c>
      <c r="C36" s="69">
        <v>110</v>
      </c>
      <c r="D36" s="69">
        <v>200</v>
      </c>
      <c r="E36" s="69">
        <v>300</v>
      </c>
      <c r="F36" s="69">
        <v>400</v>
      </c>
      <c r="H36" s="77" t="s">
        <v>56</v>
      </c>
      <c r="I36" s="76">
        <f>E35-500</f>
        <v>180</v>
      </c>
      <c r="J36" s="62">
        <f>I36*G5</f>
        <v>36</v>
      </c>
      <c r="K36" s="75">
        <f>SUM(I36-J36)</f>
        <v>144</v>
      </c>
      <c r="L36" s="74" t="s">
        <v>51</v>
      </c>
    </row>
    <row r="37" spans="2:12" ht="15" thickBot="1">
      <c r="B37" s="69">
        <v>3</v>
      </c>
      <c r="C37" s="69">
        <v>80</v>
      </c>
      <c r="D37" s="69">
        <v>140</v>
      </c>
      <c r="E37" s="69">
        <v>210</v>
      </c>
      <c r="F37" s="69">
        <v>280</v>
      </c>
      <c r="H37" s="73"/>
      <c r="I37" s="73"/>
      <c r="J37" s="73"/>
      <c r="K37" s="72">
        <v>500</v>
      </c>
      <c r="L37" s="71" t="s">
        <v>50</v>
      </c>
    </row>
    <row r="38" spans="2:12" ht="15" thickTop="1">
      <c r="B38" s="69">
        <v>4</v>
      </c>
      <c r="C38" s="69">
        <v>60</v>
      </c>
      <c r="D38" s="69">
        <v>100</v>
      </c>
      <c r="E38" s="69">
        <v>150</v>
      </c>
      <c r="F38" s="69">
        <v>200</v>
      </c>
      <c r="K38" s="89"/>
      <c r="L38" s="74"/>
    </row>
    <row r="39" spans="2:12" ht="14.25">
      <c r="B39" s="69">
        <v>5</v>
      </c>
      <c r="C39" s="69"/>
      <c r="D39" s="69">
        <v>80</v>
      </c>
      <c r="E39" s="69">
        <v>90</v>
      </c>
      <c r="F39" s="69">
        <v>120</v>
      </c>
      <c r="H39" s="77" t="s">
        <v>52</v>
      </c>
      <c r="I39" s="76">
        <f>F35-500</f>
        <v>500</v>
      </c>
      <c r="J39" s="62">
        <f>I39*G5</f>
        <v>100</v>
      </c>
      <c r="K39" s="75">
        <f>SUM(I39-J39)</f>
        <v>400</v>
      </c>
      <c r="L39" s="74" t="s">
        <v>51</v>
      </c>
    </row>
    <row r="40" spans="2:12" ht="15" thickBot="1">
      <c r="B40" s="69" t="s">
        <v>41</v>
      </c>
      <c r="C40" s="69"/>
      <c r="D40" s="69">
        <v>80</v>
      </c>
      <c r="E40" s="69">
        <v>90</v>
      </c>
      <c r="F40" s="69">
        <v>120</v>
      </c>
      <c r="H40" s="73"/>
      <c r="I40" s="73"/>
      <c r="J40" s="73"/>
      <c r="K40" s="72">
        <v>500</v>
      </c>
      <c r="L40" s="71" t="s">
        <v>50</v>
      </c>
    </row>
    <row r="41" spans="2:6" ht="15" thickTop="1">
      <c r="B41" s="69">
        <v>7</v>
      </c>
      <c r="C41" s="69"/>
      <c r="D41" s="69"/>
      <c r="E41" s="69"/>
      <c r="F41" s="69"/>
    </row>
    <row r="42" spans="2:6" ht="14.25">
      <c r="B42" s="69" t="s">
        <v>41</v>
      </c>
      <c r="C42" s="69"/>
      <c r="D42" s="69"/>
      <c r="E42" s="69"/>
      <c r="F42" s="69"/>
    </row>
    <row r="43" spans="2:6" ht="14.25">
      <c r="B43" s="69"/>
      <c r="C43" s="69"/>
      <c r="D43" s="69"/>
      <c r="E43" s="69"/>
      <c r="F43" s="69"/>
    </row>
    <row r="44" spans="1:6" ht="14.25">
      <c r="A44" s="66" t="s">
        <v>42</v>
      </c>
      <c r="B44" s="88"/>
      <c r="C44" s="88">
        <f>SUM(C35:C42)</f>
        <v>500</v>
      </c>
      <c r="D44" s="88">
        <f>SUM(D35:D42)</f>
        <v>1000</v>
      </c>
      <c r="E44" s="88">
        <f>SUM(E35:E42)</f>
        <v>1520</v>
      </c>
      <c r="F44" s="88">
        <f>SUM(F35:F42)</f>
        <v>2120</v>
      </c>
    </row>
    <row r="46" spans="4:7" ht="18">
      <c r="D46" s="87" t="s">
        <v>43</v>
      </c>
      <c r="E46" s="86"/>
      <c r="F46" s="86"/>
      <c r="G46" s="86"/>
    </row>
    <row r="47" spans="2:12" ht="12.75">
      <c r="B47" s="85" t="s">
        <v>40</v>
      </c>
      <c r="C47" s="85" t="s">
        <v>33</v>
      </c>
      <c r="D47" s="85" t="s">
        <v>1</v>
      </c>
      <c r="E47" s="85" t="s">
        <v>34</v>
      </c>
      <c r="F47" s="85" t="s">
        <v>35</v>
      </c>
      <c r="H47" s="84" t="s">
        <v>43</v>
      </c>
      <c r="I47" s="83"/>
      <c r="J47" s="83"/>
      <c r="K47" s="83"/>
      <c r="L47" s="83"/>
    </row>
    <row r="48" spans="2:12" ht="14.25">
      <c r="B48" s="82">
        <v>1</v>
      </c>
      <c r="C48" s="82">
        <v>150</v>
      </c>
      <c r="D48" s="82">
        <v>300</v>
      </c>
      <c r="E48" s="70">
        <v>450</v>
      </c>
      <c r="F48" s="69">
        <v>750</v>
      </c>
      <c r="H48" s="81" t="s">
        <v>55</v>
      </c>
      <c r="I48" s="81" t="s">
        <v>47</v>
      </c>
      <c r="J48" s="80" t="s">
        <v>54</v>
      </c>
      <c r="K48" s="79" t="s">
        <v>53</v>
      </c>
      <c r="L48" s="78"/>
    </row>
    <row r="49" spans="2:12" ht="14.25">
      <c r="B49" s="69">
        <v>2</v>
      </c>
      <c r="C49" s="69">
        <v>100</v>
      </c>
      <c r="D49" s="69">
        <v>200</v>
      </c>
      <c r="E49" s="70">
        <v>300</v>
      </c>
      <c r="F49" s="69">
        <v>400</v>
      </c>
      <c r="H49" s="77" t="s">
        <v>52</v>
      </c>
      <c r="I49" s="76">
        <f>F48-500</f>
        <v>250</v>
      </c>
      <c r="J49" s="62">
        <f>I49*G5</f>
        <v>50</v>
      </c>
      <c r="K49" s="75">
        <f>SUM(I49-J49)</f>
        <v>200</v>
      </c>
      <c r="L49" s="74" t="s">
        <v>51</v>
      </c>
    </row>
    <row r="50" spans="2:12" ht="15" thickBot="1">
      <c r="B50" s="69">
        <v>3</v>
      </c>
      <c r="C50" s="69">
        <v>75</v>
      </c>
      <c r="D50" s="69">
        <v>125</v>
      </c>
      <c r="E50" s="70">
        <v>187.5</v>
      </c>
      <c r="F50" s="70">
        <v>250</v>
      </c>
      <c r="H50" s="73"/>
      <c r="I50" s="73"/>
      <c r="J50" s="73"/>
      <c r="K50" s="72">
        <v>500</v>
      </c>
      <c r="L50" s="71" t="s">
        <v>50</v>
      </c>
    </row>
    <row r="51" spans="2:6" ht="15" thickTop="1">
      <c r="B51" s="69">
        <v>4</v>
      </c>
      <c r="C51" s="69">
        <v>25</v>
      </c>
      <c r="D51" s="69">
        <v>75</v>
      </c>
      <c r="E51" s="70">
        <v>112.5</v>
      </c>
      <c r="F51" s="70">
        <v>150</v>
      </c>
    </row>
    <row r="52" spans="2:6" ht="14.25">
      <c r="B52" s="69">
        <v>5</v>
      </c>
      <c r="C52" s="69"/>
      <c r="D52" s="69"/>
      <c r="E52" s="70">
        <v>40</v>
      </c>
      <c r="F52" s="69">
        <v>50</v>
      </c>
    </row>
    <row r="53" spans="2:6" ht="14.25">
      <c r="B53" s="69" t="s">
        <v>41</v>
      </c>
      <c r="C53" s="69"/>
      <c r="D53" s="69"/>
      <c r="E53" s="70">
        <v>40</v>
      </c>
      <c r="F53" s="69">
        <v>50</v>
      </c>
    </row>
    <row r="54" spans="2:6" ht="14.25">
      <c r="B54" s="68"/>
      <c r="C54" s="68"/>
      <c r="D54" s="68"/>
      <c r="E54" s="68"/>
      <c r="F54" s="68"/>
    </row>
    <row r="55" spans="1:6" ht="15">
      <c r="A55" s="66" t="s">
        <v>42</v>
      </c>
      <c r="B55" s="64"/>
      <c r="C55" s="64">
        <f>SUM(C48:C54)</f>
        <v>350</v>
      </c>
      <c r="D55" s="64">
        <f>SUM(D48:D54)</f>
        <v>700</v>
      </c>
      <c r="E55" s="64">
        <f>SUM(E48:E54)</f>
        <v>1130</v>
      </c>
      <c r="F55" s="64">
        <f>SUM(F48:F54)</f>
        <v>1650</v>
      </c>
    </row>
    <row r="56" spans="2:6" ht="15">
      <c r="B56" s="67"/>
      <c r="C56" s="67"/>
      <c r="D56" s="67"/>
      <c r="E56" s="67"/>
      <c r="F56" s="67"/>
    </row>
    <row r="57" spans="1:6" ht="15">
      <c r="A57" s="66" t="s">
        <v>44</v>
      </c>
      <c r="B57" s="64"/>
      <c r="C57" s="64">
        <v>350</v>
      </c>
      <c r="D57" s="64">
        <v>500</v>
      </c>
      <c r="E57" s="64">
        <f>D57*2</f>
        <v>1000</v>
      </c>
      <c r="F57" s="64">
        <f>D57*3</f>
        <v>1500</v>
      </c>
    </row>
    <row r="58" spans="1:6" ht="15">
      <c r="A58" s="66"/>
      <c r="B58" s="67"/>
      <c r="C58" s="67"/>
      <c r="D58" s="67"/>
      <c r="E58" s="67"/>
      <c r="F58" s="67"/>
    </row>
    <row r="59" spans="1:6" ht="15">
      <c r="A59" s="66" t="s">
        <v>45</v>
      </c>
      <c r="B59" s="64"/>
      <c r="C59" s="64">
        <f>SUM(C57,C55,C44,C31)</f>
        <v>3200</v>
      </c>
      <c r="D59" s="64">
        <f>SUM(D57,D55,D44,D31)</f>
        <v>6200</v>
      </c>
      <c r="E59" s="65">
        <f>SUM(E57,E55,E44,E31)</f>
        <v>9950</v>
      </c>
      <c r="F59" s="64">
        <f>SUM(F57,F55,F44,F31)</f>
        <v>13870</v>
      </c>
    </row>
  </sheetData>
  <sheetProtection/>
  <printOptions/>
  <pageMargins left="0.42" right="0.31" top="0.54" bottom="1" header="0.5" footer="0.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 Roopu Ngaru Toa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Ria</dc:creator>
  <cp:keywords/>
  <dc:description/>
  <cp:lastModifiedBy>Yvanah</cp:lastModifiedBy>
  <cp:lastPrinted>2018-01-23T21:44:57Z</cp:lastPrinted>
  <dcterms:created xsi:type="dcterms:W3CDTF">2006-12-07T08:01:13Z</dcterms:created>
  <dcterms:modified xsi:type="dcterms:W3CDTF">2021-05-15T03:24:31Z</dcterms:modified>
  <cp:category/>
  <cp:version/>
  <cp:contentType/>
  <cp:contentStatus/>
</cp:coreProperties>
</file>